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inanceiro\Contrato de Gestão PT 2020\Saldo, Forecast, Mapa de Captação e Cash Flow\Previsto x Real\4 Trim\"/>
    </mc:Choice>
  </mc:AlternateContent>
  <xr:revisionPtr revIDLastSave="0" documentId="8_{98BD6F8D-62BD-4589-8A20-623FE168ED2F}" xr6:coauthVersionLast="46" xr6:coauthVersionMax="46" xr10:uidLastSave="{00000000-0000-0000-0000-000000000000}"/>
  <bookViews>
    <workbookView xWindow="-120" yWindow="-120" windowWidth="21840" windowHeight="13140" xr2:uid="{E7303909-74C5-4042-9C5A-BFDAC098E298}"/>
  </bookViews>
  <sheets>
    <sheet name="PrevistoxReal C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Order1" hidden="1">255</definedName>
    <definedName name="_Order2" hidden="1">255</definedName>
    <definedName name="ActvFC_USD">#REF!</definedName>
    <definedName name="_xlnm.Print_Area" localSheetId="0">'PrevistoxReal CG'!$A$1:$J$229</definedName>
    <definedName name="Assets" hidden="1">{#N/A,#N/A,FALSE,"capa";#N/A,#N/A,FALSE,"capa 2";#N/A,#N/A,FALSE,"BS";#N/A,#N/A,FALSE,"P &amp; L";#N/A,#N/A,FALSE,"DMPL";#N/A,#N/A,FALSE,"Doar";#N/A,#N/A,FALSE,"Translation";#N/A,#N/A,FALSE,"R$";#N/A,#N/A,FALSE,"US$"}</definedName>
    <definedName name="aumentoemprestimo">[2]Empréstimo!$C$5</definedName>
    <definedName name="aumentoemprestimodolar">[2]Empréstimo!$C$12</definedName>
    <definedName name="_xlnm.Database">#REF!</definedName>
    <definedName name="BuiltIn_AutoFilter___3">[3]EMABERTO!#REF!</definedName>
    <definedName name="Comparativo" hidden="1">{#N/A,#N/A,FALSE,"Capas";#N/A,#N/A,FALSE,"BS";#N/A,#N/A,FALSE,"DMPL";#N/A,#N/A,FALSE,"Doar";#N/A,#N/A,FALSE,"Translation";#N/A,#N/A,FALSE,"R$";#N/A,#N/A,FALSE,"US$"}</definedName>
    <definedName name="Comparison">#REF!</definedName>
    <definedName name="Cópia_de_ARTICLE">#REF!</definedName>
    <definedName name="curr_period">[4]Details!$E$53</definedName>
    <definedName name="Currency">[4]Details!$B$11</definedName>
    <definedName name="CurrRange">[5]Currency!$A$3:$C$69</definedName>
    <definedName name="CurrSelect">[5]Currency!$C$71</definedName>
    <definedName name="Data_check">#REF!</definedName>
    <definedName name="depreciação">'[2]R$ TOTAL'!$Q$72</definedName>
    <definedName name="depreciaçãodolar">'[2]US$ TOTAL'!$Q$72</definedName>
    <definedName name="Division">[4]Details!$B$6</definedName>
    <definedName name="dol">#REF!</definedName>
    <definedName name="Excel_BuiltIn_Print_Area_0">#REF!</definedName>
    <definedName name="Excel_BuiltIn_Print_Titles_0">#REF!</definedName>
    <definedName name="fin_year">[4]Details!$G$53</definedName>
    <definedName name="FXRate">#REF!</definedName>
    <definedName name="juremprestimo">[2]Empréstimo!$C$6</definedName>
    <definedName name="Markets">#REF!</definedName>
    <definedName name="Month_Forecast_US">#REF!</definedName>
    <definedName name="month_no">#REF!</definedName>
    <definedName name="Novab">#REF!</definedName>
    <definedName name="Novac">#REF!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period">#REF!</definedName>
    <definedName name="Phased_Home_US">'[6]JWR 5 Ext'!#REF!</definedName>
    <definedName name="PLT_Truck">#REF!</definedName>
    <definedName name="PRINT_TITLES_MI">#REF!</definedName>
    <definedName name="Release_no">[7]Details!#REF!</definedName>
    <definedName name="sa" hidden="1">{#N/A,#N/A,FALSE,"capa";#N/A,#N/A,FALSE,"capa 2";#N/A,#N/A,FALSE,"BS";#N/A,#N/A,FALSE,"P &amp; L";#N/A,#N/A,FALSE,"DMPL";#N/A,#N/A,FALSE,"Doar";#N/A,#N/A,FALSE,"Translation";#N/A,#N/A,FALSE,"R$";#N/A,#N/A,FALSE,"US$"}</definedName>
    <definedName name="sales_ico_country_uk">#REF!</definedName>
    <definedName name="Sales_ico_country_US">#REF!</definedName>
    <definedName name="Sales_Ico_UK">#REF!</definedName>
    <definedName name="Sales_ico_US">#REF!</definedName>
    <definedName name="SALES_SUPPLEMENT_US">'[6]JWR 3 Ext'!#REF!</definedName>
    <definedName name="Scale">[4]Details!$B$12</definedName>
    <definedName name="sch_p06a">'[8]PRP pack'!#REF!</definedName>
    <definedName name="sch_p06b">'[8]PRP pack'!#REF!</definedName>
    <definedName name="sch_p12">#REF!</definedName>
    <definedName name="subdiv">[4]Details!$B$7</definedName>
    <definedName name="title">[4]Details!$B$2</definedName>
    <definedName name="_xlnm.Print_Titles" localSheetId="0">'PrevistoxReal CG'!$1:$12</definedName>
    <definedName name="unit_code">[4]Details!$B$9</definedName>
    <definedName name="unit_name">[4]Details!$B$8</definedName>
    <definedName name="Validations">#REF!</definedName>
    <definedName name="vcemprestimo">[2]Empréstimo!$F$8</definedName>
    <definedName name="Version">[4]Details!$B$18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bal898." hidden="1">{#N/A,#N/A,FALSE,"BALANÇO";#N/A,#N/A,FALSE,"RESULT";#N/A,#N/A,FALSE,"DMPL";#N/A,#N/A,FALSE,"DOAR";#N/A,#N/A,FALSE,"capas"}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fihi." hidden="1">{"FLASH",#N/A,TRUE,"LOCAL CCY"}</definedName>
    <definedName name="wrn.FLASHP." hidden="1">{"FLASH",#N/A,TRUE,"LOCAL CCY"}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Johnson.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sbafs97." hidden="1">{#N/A,#N/A,FALSE,"Capas";#N/A,#N/A,FALSE,"BS";#N/A,#N/A,FALSE,"P &amp; L";#N/A,#N/A,FALSE,"DMPL";#N/A,#N/A,FALSE,"Doar";#N/A,#N/A,FALSE,"Translation";#N/A,#N/A,FALSE,"R$";#N/A,#N/A,FALSE,"US$"}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0" i="1" l="1"/>
  <c r="H198" i="1"/>
  <c r="G191" i="1"/>
  <c r="E191" i="1"/>
  <c r="E189" i="1"/>
  <c r="G188" i="1"/>
  <c r="F188" i="1"/>
  <c r="F191" i="1" s="1"/>
  <c r="E188" i="1"/>
  <c r="H187" i="1"/>
  <c r="H191" i="1" s="1"/>
  <c r="E187" i="1"/>
  <c r="D185" i="1"/>
  <c r="D193" i="1" s="1"/>
  <c r="E185" i="1" s="1"/>
  <c r="E193" i="1" s="1"/>
  <c r="F185" i="1" s="1"/>
  <c r="H170" i="1"/>
  <c r="G170" i="1"/>
  <c r="F170" i="1"/>
  <c r="E170" i="1"/>
  <c r="D170" i="1"/>
  <c r="H159" i="1"/>
  <c r="G159" i="1"/>
  <c r="F159" i="1"/>
  <c r="E159" i="1"/>
  <c r="D159" i="1"/>
  <c r="I157" i="1"/>
  <c r="H148" i="1"/>
  <c r="I156" i="1"/>
  <c r="I155" i="1"/>
  <c r="I154" i="1"/>
  <c r="I153" i="1"/>
  <c r="I152" i="1"/>
  <c r="I151" i="1"/>
  <c r="G151" i="1"/>
  <c r="I150" i="1"/>
  <c r="I149" i="1"/>
  <c r="G148" i="1"/>
  <c r="F148" i="1"/>
  <c r="D148" i="1"/>
  <c r="I138" i="1"/>
  <c r="J138" i="1" s="1"/>
  <c r="I137" i="1"/>
  <c r="J137" i="1" s="1"/>
  <c r="I136" i="1"/>
  <c r="J136" i="1" s="1"/>
  <c r="H134" i="1"/>
  <c r="G134" i="1"/>
  <c r="E134" i="1"/>
  <c r="F134" i="1"/>
  <c r="H128" i="1"/>
  <c r="I130" i="1"/>
  <c r="J130" i="1" s="1"/>
  <c r="G128" i="1"/>
  <c r="I129" i="1"/>
  <c r="I128" i="1" s="1"/>
  <c r="F128" i="1"/>
  <c r="D128" i="1"/>
  <c r="I127" i="1"/>
  <c r="J127" i="1" s="1"/>
  <c r="I126" i="1"/>
  <c r="J126" i="1" s="1"/>
  <c r="I125" i="1"/>
  <c r="J125" i="1" s="1"/>
  <c r="I124" i="1"/>
  <c r="J124" i="1" s="1"/>
  <c r="I123" i="1"/>
  <c r="J123" i="1" s="1"/>
  <c r="J122" i="1"/>
  <c r="I122" i="1"/>
  <c r="I121" i="1"/>
  <c r="J121" i="1" s="1"/>
  <c r="F118" i="1"/>
  <c r="I120" i="1"/>
  <c r="J120" i="1" s="1"/>
  <c r="H118" i="1"/>
  <c r="G118" i="1"/>
  <c r="I119" i="1"/>
  <c r="D118" i="1"/>
  <c r="I117" i="1"/>
  <c r="J117" i="1" s="1"/>
  <c r="I116" i="1"/>
  <c r="J116" i="1" s="1"/>
  <c r="H114" i="1"/>
  <c r="F114" i="1"/>
  <c r="I115" i="1"/>
  <c r="G114" i="1"/>
  <c r="I113" i="1"/>
  <c r="J113" i="1" s="1"/>
  <c r="F109" i="1"/>
  <c r="I112" i="1"/>
  <c r="J112" i="1" s="1"/>
  <c r="I111" i="1"/>
  <c r="J111" i="1" s="1"/>
  <c r="D111" i="1"/>
  <c r="H109" i="1"/>
  <c r="G109" i="1"/>
  <c r="I110" i="1"/>
  <c r="D110" i="1"/>
  <c r="D109" i="1" s="1"/>
  <c r="I108" i="1"/>
  <c r="J108" i="1" s="1"/>
  <c r="I107" i="1"/>
  <c r="J107" i="1" s="1"/>
  <c r="F104" i="1"/>
  <c r="I106" i="1"/>
  <c r="J106" i="1" s="1"/>
  <c r="D106" i="1"/>
  <c r="D104" i="1" s="1"/>
  <c r="D98" i="1" s="1"/>
  <c r="H104" i="1"/>
  <c r="G104" i="1"/>
  <c r="I105" i="1"/>
  <c r="I103" i="1"/>
  <c r="J103" i="1" s="1"/>
  <c r="I102" i="1"/>
  <c r="J102" i="1" s="1"/>
  <c r="I101" i="1"/>
  <c r="J101" i="1" s="1"/>
  <c r="G99" i="1"/>
  <c r="F99" i="1"/>
  <c r="I100" i="1"/>
  <c r="H99" i="1"/>
  <c r="D99" i="1"/>
  <c r="I96" i="1"/>
  <c r="J96" i="1" s="1"/>
  <c r="I95" i="1"/>
  <c r="J95" i="1" s="1"/>
  <c r="I94" i="1"/>
  <c r="J94" i="1" s="1"/>
  <c r="I93" i="1"/>
  <c r="J93" i="1" s="1"/>
  <c r="H91" i="1"/>
  <c r="G91" i="1"/>
  <c r="I92" i="1"/>
  <c r="D92" i="1"/>
  <c r="F91" i="1"/>
  <c r="D91" i="1"/>
  <c r="I90" i="1"/>
  <c r="J90" i="1" s="1"/>
  <c r="I89" i="1"/>
  <c r="J89" i="1" s="1"/>
  <c r="I88" i="1"/>
  <c r="I87" i="1" s="1"/>
  <c r="J87" i="1" s="1"/>
  <c r="H87" i="1"/>
  <c r="E87" i="1"/>
  <c r="G87" i="1"/>
  <c r="F87" i="1"/>
  <c r="D87" i="1"/>
  <c r="I86" i="1"/>
  <c r="J86" i="1" s="1"/>
  <c r="I85" i="1"/>
  <c r="J85" i="1" s="1"/>
  <c r="D85" i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H73" i="1"/>
  <c r="G73" i="1"/>
  <c r="I74" i="1"/>
  <c r="J74" i="1" s="1"/>
  <c r="E73" i="1"/>
  <c r="D73" i="1"/>
  <c r="D71" i="1" s="1"/>
  <c r="I72" i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G61" i="1"/>
  <c r="F61" i="1"/>
  <c r="I62" i="1"/>
  <c r="H61" i="1"/>
  <c r="D61" i="1"/>
  <c r="I60" i="1"/>
  <c r="J60" i="1" s="1"/>
  <c r="H58" i="1"/>
  <c r="G58" i="1"/>
  <c r="F58" i="1"/>
  <c r="I59" i="1"/>
  <c r="D58" i="1"/>
  <c r="I57" i="1"/>
  <c r="J57" i="1" s="1"/>
  <c r="I56" i="1"/>
  <c r="F55" i="1"/>
  <c r="E55" i="1"/>
  <c r="D56" i="1"/>
  <c r="G55" i="1"/>
  <c r="D55" i="1"/>
  <c r="I54" i="1"/>
  <c r="J54" i="1" s="1"/>
  <c r="D54" i="1"/>
  <c r="H52" i="1"/>
  <c r="G52" i="1"/>
  <c r="F52" i="1"/>
  <c r="I53" i="1"/>
  <c r="D52" i="1"/>
  <c r="I51" i="1"/>
  <c r="J51" i="1" s="1"/>
  <c r="H49" i="1"/>
  <c r="E49" i="1"/>
  <c r="G49" i="1"/>
  <c r="G47" i="1" s="1"/>
  <c r="F49" i="1"/>
  <c r="D49" i="1"/>
  <c r="D47" i="1" s="1"/>
  <c r="D132" i="1" s="1"/>
  <c r="D140" i="1" s="1"/>
  <c r="D142" i="1" s="1"/>
  <c r="I41" i="1"/>
  <c r="J41" i="1" s="1"/>
  <c r="I40" i="1"/>
  <c r="J40" i="1" s="1"/>
  <c r="D40" i="1"/>
  <c r="I39" i="1"/>
  <c r="J39" i="1" s="1"/>
  <c r="I38" i="1"/>
  <c r="J38" i="1" s="1"/>
  <c r="D38" i="1"/>
  <c r="H36" i="1"/>
  <c r="G36" i="1"/>
  <c r="G42" i="1" s="1"/>
  <c r="F36" i="1"/>
  <c r="E36" i="1"/>
  <c r="D37" i="1"/>
  <c r="D36" i="1" s="1"/>
  <c r="I35" i="1"/>
  <c r="H42" i="1"/>
  <c r="H30" i="1"/>
  <c r="I30" i="1" s="1"/>
  <c r="J30" i="1" s="1"/>
  <c r="G30" i="1"/>
  <c r="I29" i="1"/>
  <c r="J29" i="1" s="1"/>
  <c r="D29" i="1"/>
  <c r="F27" i="1"/>
  <c r="E27" i="1"/>
  <c r="I27" i="1" s="1"/>
  <c r="J27" i="1" s="1"/>
  <c r="I25" i="1"/>
  <c r="J25" i="1" s="1"/>
  <c r="I22" i="1"/>
  <c r="J22" i="1" s="1"/>
  <c r="I21" i="1"/>
  <c r="J21" i="1" s="1"/>
  <c r="I20" i="1"/>
  <c r="I19" i="1" s="1"/>
  <c r="J19" i="1" s="1"/>
  <c r="H19" i="1"/>
  <c r="G19" i="1"/>
  <c r="F19" i="1"/>
  <c r="E19" i="1"/>
  <c r="D19" i="1"/>
  <c r="I18" i="1"/>
  <c r="J18" i="1" s="1"/>
  <c r="H18" i="1"/>
  <c r="E18" i="1"/>
  <c r="E17" i="1" s="1"/>
  <c r="D18" i="1"/>
  <c r="D17" i="1" s="1"/>
  <c r="D23" i="1" s="1"/>
  <c r="D35" i="1" s="1"/>
  <c r="D42" i="1" s="1"/>
  <c r="H17" i="1"/>
  <c r="H23" i="1" s="1"/>
  <c r="G17" i="1"/>
  <c r="G23" i="1" s="1"/>
  <c r="F17" i="1"/>
  <c r="F23" i="1" s="1"/>
  <c r="I17" i="1" l="1"/>
  <c r="E23" i="1"/>
  <c r="J56" i="1"/>
  <c r="I55" i="1"/>
  <c r="J55" i="1" s="1"/>
  <c r="I61" i="1"/>
  <c r="J61" i="1" s="1"/>
  <c r="J62" i="1"/>
  <c r="J72" i="1"/>
  <c r="I99" i="1"/>
  <c r="J100" i="1"/>
  <c r="I52" i="1"/>
  <c r="J52" i="1" s="1"/>
  <c r="J53" i="1"/>
  <c r="F98" i="1"/>
  <c r="J105" i="1"/>
  <c r="I104" i="1"/>
  <c r="J104" i="1" s="1"/>
  <c r="F193" i="1"/>
  <c r="G185" i="1" s="1"/>
  <c r="G193" i="1" s="1"/>
  <c r="H185" i="1" s="1"/>
  <c r="H193" i="1" s="1"/>
  <c r="E42" i="1"/>
  <c r="G71" i="1"/>
  <c r="G132" i="1" s="1"/>
  <c r="G140" i="1" s="1"/>
  <c r="G142" i="1" s="1"/>
  <c r="J92" i="1"/>
  <c r="I91" i="1"/>
  <c r="J91" i="1" s="1"/>
  <c r="G98" i="1"/>
  <c r="F42" i="1"/>
  <c r="H47" i="1"/>
  <c r="H71" i="1"/>
  <c r="H98" i="1"/>
  <c r="J110" i="1"/>
  <c r="I109" i="1"/>
  <c r="J109" i="1" s="1"/>
  <c r="J119" i="1"/>
  <c r="I118" i="1"/>
  <c r="J118" i="1" s="1"/>
  <c r="F47" i="1"/>
  <c r="I114" i="1"/>
  <c r="J114" i="1" s="1"/>
  <c r="J115" i="1"/>
  <c r="I58" i="1"/>
  <c r="J58" i="1" s="1"/>
  <c r="J59" i="1"/>
  <c r="E91" i="1"/>
  <c r="H55" i="1"/>
  <c r="E128" i="1"/>
  <c r="I135" i="1"/>
  <c r="I50" i="1"/>
  <c r="E52" i="1"/>
  <c r="E58" i="1"/>
  <c r="E47" i="1" s="1"/>
  <c r="F73" i="1"/>
  <c r="F71" i="1" s="1"/>
  <c r="J88" i="1"/>
  <c r="E114" i="1"/>
  <c r="E148" i="1"/>
  <c r="I148" i="1" s="1"/>
  <c r="E71" i="1"/>
  <c r="E104" i="1"/>
  <c r="E109" i="1"/>
  <c r="E118" i="1"/>
  <c r="J35" i="1"/>
  <c r="E61" i="1"/>
  <c r="E99" i="1"/>
  <c r="I37" i="1"/>
  <c r="J20" i="1"/>
  <c r="E132" i="1" l="1"/>
  <c r="E140" i="1" s="1"/>
  <c r="E142" i="1" s="1"/>
  <c r="I73" i="1"/>
  <c r="J99" i="1"/>
  <c r="I98" i="1"/>
  <c r="J98" i="1" s="1"/>
  <c r="I49" i="1"/>
  <c r="J50" i="1"/>
  <c r="I23" i="1"/>
  <c r="J23" i="1" s="1"/>
  <c r="J17" i="1"/>
  <c r="I134" i="1"/>
  <c r="J134" i="1" s="1"/>
  <c r="J135" i="1"/>
  <c r="H132" i="1"/>
  <c r="H140" i="1" s="1"/>
  <c r="H142" i="1" s="1"/>
  <c r="J37" i="1"/>
  <c r="I36" i="1"/>
  <c r="F132" i="1"/>
  <c r="F140" i="1" s="1"/>
  <c r="F142" i="1" s="1"/>
  <c r="E98" i="1"/>
  <c r="J36" i="1" l="1"/>
  <c r="I42" i="1"/>
  <c r="J42" i="1" s="1"/>
  <c r="J49" i="1"/>
  <c r="I47" i="1"/>
  <c r="J73" i="1"/>
  <c r="I71" i="1"/>
  <c r="J71" i="1" s="1"/>
  <c r="J47" i="1" l="1"/>
  <c r="I132" i="1"/>
  <c r="J132" i="1" l="1"/>
  <c r="I140" i="1"/>
  <c r="J140" i="1" l="1"/>
  <c r="I1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Melo</author>
  </authors>
  <commentList>
    <comment ref="D110" authorId="0" shapeId="0" xr:uid="{00A53453-C1B6-42F8-87C3-0374FC67523E}">
      <text>
        <r>
          <rPr>
            <sz val="9"/>
            <color indexed="81"/>
            <rFont val="Segoe UI"/>
            <family val="2"/>
          </rPr>
          <t>AULAS/PALESTRAS
EDUCADOR/MONITOR
INTERPRETE</t>
        </r>
      </text>
    </comment>
  </commentList>
</comments>
</file>

<file path=xl/sharedStrings.xml><?xml version="1.0" encoding="utf-8"?>
<sst xmlns="http://schemas.openxmlformats.org/spreadsheetml/2006/main" count="391" uniqueCount="318">
  <si>
    <t>Exercício:</t>
  </si>
  <si>
    <t>2020</t>
  </si>
  <si>
    <t>UGE:</t>
  </si>
  <si>
    <t>UPPM</t>
  </si>
  <si>
    <t>Organização Social: Associação Pinacoteca Arte e Cultura - APAC</t>
  </si>
  <si>
    <t>Objeto Contratual:</t>
  </si>
  <si>
    <t>Pinacoteca Luz e Estação Pinacoteca e MRSP</t>
  </si>
  <si>
    <t>Contrato de Gestão nº:</t>
  </si>
  <si>
    <t>001/2018</t>
  </si>
  <si>
    <t>1. RELATÓRIO GERENCIAL DE ORÇAMENTO PREVISTO x REALIZADO</t>
  </si>
  <si>
    <t>I - REPASSES PÚBLICOS</t>
  </si>
  <si>
    <t>RECURSOS PÚBLICOS VINCULADOS AO CONTRATO DE GESTÃO</t>
  </si>
  <si>
    <t>Orçamento
Anual</t>
  </si>
  <si>
    <t>1º Tri</t>
  </si>
  <si>
    <t>2º Tri</t>
  </si>
  <si>
    <t>3º Tri</t>
  </si>
  <si>
    <t>4º Tri</t>
  </si>
  <si>
    <t>Realizado</t>
  </si>
  <si>
    <t xml:space="preserve">Real x Orçado </t>
  </si>
  <si>
    <t>Repasse para o Contrato de Gestão</t>
  </si>
  <si>
    <t>1.1</t>
  </si>
  <si>
    <t>Repasse Contrato de Gestão</t>
  </si>
  <si>
    <t>redução</t>
  </si>
  <si>
    <t>1.1.1</t>
  </si>
  <si>
    <t>Repasse do Contrato de Gestão</t>
  </si>
  <si>
    <t>1.2</t>
  </si>
  <si>
    <t>Movimentação de Recursos Reservados</t>
  </si>
  <si>
    <t>1.2.1</t>
  </si>
  <si>
    <t xml:space="preserve">Constituição Recursos de Reserva </t>
  </si>
  <si>
    <t>1.2.2</t>
  </si>
  <si>
    <t>Constituição Recursos de Contingência</t>
  </si>
  <si>
    <t>1.2.3</t>
  </si>
  <si>
    <t>Reversão de Recursos Reservados (Reserva e Contingência - a especificar)</t>
  </si>
  <si>
    <t>1.3</t>
  </si>
  <si>
    <t>Repasses Líquidos Disponíveis</t>
  </si>
  <si>
    <t>Recursos de Investimento do Contrato de Gestão</t>
  </si>
  <si>
    <t>Recursos de Captação não Incentivada</t>
  </si>
  <si>
    <t>Recursos de Captação Incentivada</t>
  </si>
  <si>
    <t>4.1</t>
  </si>
  <si>
    <t>Custeio (Rouanet)</t>
  </si>
  <si>
    <t>II - DEMONSTRAÇÃO DE RESULTADO</t>
  </si>
  <si>
    <t>RECEITAS APROPRIADAS VINCULADAS AO CONTRATO DE GESTÃO</t>
  </si>
  <si>
    <t>Receita de Repasse Apropriada</t>
  </si>
  <si>
    <t>4.2</t>
  </si>
  <si>
    <t>Receita de Captação Apropriada</t>
  </si>
  <si>
    <t>4.2.1</t>
  </si>
  <si>
    <r>
      <t>Captação de Recursos Operacionais</t>
    </r>
    <r>
      <rPr>
        <sz val="10"/>
        <rFont val="Calibri"/>
        <family val="2"/>
        <scheme val="minor"/>
      </rPr>
      <t xml:space="preserve"> (bilheteria, cessão onerosa de espaço, loja, café, doações, estacionamento, etc)</t>
    </r>
  </si>
  <si>
    <t>4.2.2</t>
  </si>
  <si>
    <t>Captação de Recursos Incentivados</t>
  </si>
  <si>
    <t>4.2.3</t>
  </si>
  <si>
    <t>Trabalho Voluntário e Gratuidades</t>
  </si>
  <si>
    <t>4.2.4</t>
  </si>
  <si>
    <t>Captação de Recursos não Incentivados</t>
  </si>
  <si>
    <t>4.3</t>
  </si>
  <si>
    <t>Total das Receitas Financeiras</t>
  </si>
  <si>
    <t>5</t>
  </si>
  <si>
    <t>TOTAL DE RECEITAS VINCULADAS AO PLANO DE TRABALHO</t>
  </si>
  <si>
    <t>6</t>
  </si>
  <si>
    <t>TOTAL DE RECEITAS PARA METAS CONDICIONADAS</t>
  </si>
  <si>
    <t>DESPESAS DO CONTRATO DE GESTÃO</t>
  </si>
  <si>
    <t>Recursos Humanos</t>
  </si>
  <si>
    <t>7.1</t>
  </si>
  <si>
    <t>Salários, encargos e benefícios</t>
  </si>
  <si>
    <t>7.1.1</t>
  </si>
  <si>
    <t>Diretoria</t>
  </si>
  <si>
    <t>7.1.1.1</t>
  </si>
  <si>
    <t>Área Meio</t>
  </si>
  <si>
    <t>7.1.1.2</t>
  </si>
  <si>
    <t>Área Fim</t>
  </si>
  <si>
    <t>7.1.2</t>
  </si>
  <si>
    <t>Demais Funcionários</t>
  </si>
  <si>
    <t>7.1.2.1</t>
  </si>
  <si>
    <t>7.1.2.2</t>
  </si>
  <si>
    <t>7.1.3</t>
  </si>
  <si>
    <t>Estagiários</t>
  </si>
  <si>
    <t>7.1.3.1</t>
  </si>
  <si>
    <t>7.1.3.2</t>
  </si>
  <si>
    <t>7.1.4</t>
  </si>
  <si>
    <t>Aprendizes</t>
  </si>
  <si>
    <t>7.1.4.1</t>
  </si>
  <si>
    <t>7.1.4.2</t>
  </si>
  <si>
    <t>Prestadores de serviços (Consultorias/Assessorias/Pessoas Jurídicas) - Área Meio</t>
  </si>
  <si>
    <t>8.1</t>
  </si>
  <si>
    <t>Limpeza</t>
  </si>
  <si>
    <t>8.2</t>
  </si>
  <si>
    <t>Vigilância / portaria / segurança</t>
  </si>
  <si>
    <t>8.3</t>
  </si>
  <si>
    <t>Jurídica</t>
  </si>
  <si>
    <t>8.4</t>
  </si>
  <si>
    <t>Informática</t>
  </si>
  <si>
    <t>8.5</t>
  </si>
  <si>
    <t>Administrativa / RH</t>
  </si>
  <si>
    <t>8.6</t>
  </si>
  <si>
    <t>Contábil</t>
  </si>
  <si>
    <t>8.7</t>
  </si>
  <si>
    <t>Auditoria</t>
  </si>
  <si>
    <t>8.8</t>
  </si>
  <si>
    <t>Outras Despesas (locação de bens moveis)</t>
  </si>
  <si>
    <t>Custos Administrativos e Institucionais</t>
  </si>
  <si>
    <t>9.1</t>
  </si>
  <si>
    <t>Locação de bens imóveis</t>
  </si>
  <si>
    <t>9.2</t>
  </si>
  <si>
    <t>Utilidades públicas</t>
  </si>
  <si>
    <t>9.2.1</t>
  </si>
  <si>
    <t>Agua</t>
  </si>
  <si>
    <t>9.2.2</t>
  </si>
  <si>
    <t>Energia eletrica</t>
  </si>
  <si>
    <t>9.2.3</t>
  </si>
  <si>
    <t>Gas</t>
  </si>
  <si>
    <t>9.2.4</t>
  </si>
  <si>
    <t>Internet</t>
  </si>
  <si>
    <t>9.2.5</t>
  </si>
  <si>
    <t>Telefonia</t>
  </si>
  <si>
    <t>9.3</t>
  </si>
  <si>
    <t>Uniformes e EPIs</t>
  </si>
  <si>
    <t>9.4</t>
  </si>
  <si>
    <t>Viagens e Estadias</t>
  </si>
  <si>
    <t>9.5</t>
  </si>
  <si>
    <t>Material de consumo, escritório e limpeza</t>
  </si>
  <si>
    <t>9.6</t>
  </si>
  <si>
    <t>Despesas tributárias e financeiras</t>
  </si>
  <si>
    <t>9.7</t>
  </si>
  <si>
    <t>Despesas diversas (correio, xerox, motoboy, etc.)</t>
  </si>
  <si>
    <t>9.8</t>
  </si>
  <si>
    <t>Treinamento de Funcionários</t>
  </si>
  <si>
    <t>9.9</t>
  </si>
  <si>
    <t>Outras Despesas (Despesas com captação)</t>
  </si>
  <si>
    <t>9.10</t>
  </si>
  <si>
    <t>Locação de móveis</t>
  </si>
  <si>
    <t>Programa de Gestão Executiva, Transparência e Governança</t>
  </si>
  <si>
    <t>10.1</t>
  </si>
  <si>
    <t xml:space="preserve">Plano Museológico ou Planejamento Estratégico </t>
  </si>
  <si>
    <t>10.2</t>
  </si>
  <si>
    <t>Pesquisa de público</t>
  </si>
  <si>
    <t>10.3</t>
  </si>
  <si>
    <t>(discriminar)</t>
  </si>
  <si>
    <t>Programa de Edificações: Conservação, Manutenção e Segurança</t>
  </si>
  <si>
    <t>11.1</t>
  </si>
  <si>
    <t>Conservação e manutenção de edificações (reparos, pinturas,  limpeza  de  caixa  de  água,  limpeza  de calhas, etc.)</t>
  </si>
  <si>
    <t>11.2</t>
  </si>
  <si>
    <t>Sistema de Monitoramento de Segurança e AVCB</t>
  </si>
  <si>
    <t>11.3</t>
  </si>
  <si>
    <t>Equipamentos / Implementos</t>
  </si>
  <si>
    <t>11.4</t>
  </si>
  <si>
    <t>Seguros (predial, incêndio, etc.)</t>
  </si>
  <si>
    <t>11.5</t>
  </si>
  <si>
    <t>Outras Despesas (melhorias estruturais, projetos civis e arquitetonicos)</t>
  </si>
  <si>
    <t>Programas de Trabalho da Área Fim</t>
  </si>
  <si>
    <t>12.1</t>
  </si>
  <si>
    <t>Programa de Acervo: Conservação, Documentação e Pesquisa</t>
  </si>
  <si>
    <t>12.1.1</t>
  </si>
  <si>
    <t>Aquisição de acervo museológico / bibliográfico</t>
  </si>
  <si>
    <t>12.1.2</t>
  </si>
  <si>
    <t>Mobiliário e equipamentos para áreas técnicas</t>
  </si>
  <si>
    <t>12.1.3</t>
  </si>
  <si>
    <t>Projetos de documentação, conservação e pesquisa</t>
  </si>
  <si>
    <t>12.1.4</t>
  </si>
  <si>
    <t>12.2</t>
  </si>
  <si>
    <t>Programa de Exposições e Programação Cultural</t>
  </si>
  <si>
    <t>12.2.1</t>
  </si>
  <si>
    <t>Exposições Temporárias</t>
  </si>
  <si>
    <t>12.2.2</t>
  </si>
  <si>
    <t>Nova exposição de longa duração / atualização expos.</t>
  </si>
  <si>
    <t>12.2.3</t>
  </si>
  <si>
    <t>Programação Cultural</t>
  </si>
  <si>
    <t>12.2.4</t>
  </si>
  <si>
    <t>12.3</t>
  </si>
  <si>
    <t>Programa Educativo</t>
  </si>
  <si>
    <t>12.3.1</t>
  </si>
  <si>
    <t>Oficinas, cursos, palestras</t>
  </si>
  <si>
    <t>12.3.2</t>
  </si>
  <si>
    <t>Projetos, materiais de apoio impressos e audiovisuais</t>
  </si>
  <si>
    <t>12.3.3</t>
  </si>
  <si>
    <t>Recursos e materiais de acessibilidade</t>
  </si>
  <si>
    <t>12.3.4</t>
  </si>
  <si>
    <t>Apoio Participação Instituição no CECA - ICOM</t>
  </si>
  <si>
    <t>12.4</t>
  </si>
  <si>
    <t>Programa  de Ações de Apoio ao SISEM-SP</t>
  </si>
  <si>
    <t>12.4.1</t>
  </si>
  <si>
    <t xml:space="preserve">Exposições Itinerantes </t>
  </si>
  <si>
    <t>12.4.2</t>
  </si>
  <si>
    <t>Ações em Rede</t>
  </si>
  <si>
    <t>12.4.3</t>
  </si>
  <si>
    <t>(especificar)</t>
  </si>
  <si>
    <t>12.5</t>
  </si>
  <si>
    <t>Programa de Comunicação e Desenvolvimento Institucional</t>
  </si>
  <si>
    <t>12.5.1</t>
  </si>
  <si>
    <t>Plano de Comunicação e site (intranet e acessibilidade site e aplicativo)</t>
  </si>
  <si>
    <t>12.5.2</t>
  </si>
  <si>
    <t>Projetos gráficos e materiais de comunicação</t>
  </si>
  <si>
    <t>12.5.3</t>
  </si>
  <si>
    <t>Publicações (folders, folhetos visitação)</t>
  </si>
  <si>
    <t>12.5.4</t>
  </si>
  <si>
    <t>Assessoria de imprensa e custos de publicidade (facebook e mídias digitais)</t>
  </si>
  <si>
    <t>12.5.5</t>
  </si>
  <si>
    <t>Comunicação visual edifícios, placas etc</t>
  </si>
  <si>
    <t>12.5.6</t>
  </si>
  <si>
    <t>Registro fotográfico das ações (comprovação e evidenciação das ações)</t>
  </si>
  <si>
    <t>12.5.7</t>
  </si>
  <si>
    <t>Clipping Digital</t>
  </si>
  <si>
    <t>12.5.8</t>
  </si>
  <si>
    <t>Apresentações</t>
  </si>
  <si>
    <t>12.5.9</t>
  </si>
  <si>
    <t>Projetos de avaliação, pesquisa de satisfação</t>
  </si>
  <si>
    <t>12.6</t>
  </si>
  <si>
    <t>Programa Específico</t>
  </si>
  <si>
    <t>12.6.1</t>
  </si>
  <si>
    <t>12.6.2</t>
  </si>
  <si>
    <t>SUBTOTAL DESPESAS</t>
  </si>
  <si>
    <t>Depreciação/Amortização/Exaustão/Baixa de Imobilizado/Doação/Gratuidade/Provisões</t>
  </si>
  <si>
    <t>13.1</t>
  </si>
  <si>
    <t>Depreciação/Amortização/Exaustão/Baixa de Imobilizado</t>
  </si>
  <si>
    <t>13.2</t>
  </si>
  <si>
    <t>Provisão para perdas e contigências</t>
  </si>
  <si>
    <t>13.3</t>
  </si>
  <si>
    <t>Despesas com Doações e Gratuidades</t>
  </si>
  <si>
    <t>13.4</t>
  </si>
  <si>
    <t>Custo das Mercadorias vendidas</t>
  </si>
  <si>
    <t>DESPESAS TOTAIS</t>
  </si>
  <si>
    <t>TOTAL GERAL</t>
  </si>
  <si>
    <t>SUPERÁVIT OU DÉFICIT DO EXERCÍCIO  (RECEITA-DESPESA)</t>
  </si>
  <si>
    <t>III - INVESTIMENTOS/IMOBILIZADO</t>
  </si>
  <si>
    <t>INVESTIMENTOS COM RECURSOS VINCULADOS AO CONTRATOS DE GESTÃO</t>
  </si>
  <si>
    <t>16.1</t>
  </si>
  <si>
    <t>MÓVEIS E UTENSÍLIOS</t>
  </si>
  <si>
    <t>16.2</t>
  </si>
  <si>
    <t>MÁQUINAS E EQUIPAMENTOS</t>
  </si>
  <si>
    <t>16.3</t>
  </si>
  <si>
    <t>EQUIPAMENTOS DE INFORMÁTICA</t>
  </si>
  <si>
    <t>16.4</t>
  </si>
  <si>
    <t>ACESSORIOS TELEFONICOS</t>
  </si>
  <si>
    <t>16.5</t>
  </si>
  <si>
    <t>INSTALAÇÕES</t>
  </si>
  <si>
    <t>16.6</t>
  </si>
  <si>
    <t>EQUIPAMENTO FOTOGRAFICO</t>
  </si>
  <si>
    <t>16.7</t>
  </si>
  <si>
    <t>SOFTWARE</t>
  </si>
  <si>
    <t>16.8</t>
  </si>
  <si>
    <t>AQUISIÇÃO DE ACERVO</t>
  </si>
  <si>
    <t>16.9</t>
  </si>
  <si>
    <t>ESTOQUE</t>
  </si>
  <si>
    <t>RECURSOS PÚBLICOS ESPECÍFICOS PARA INVESTIMENTO NO CONTRATO   DE GESTÃO</t>
  </si>
  <si>
    <t>17.1</t>
  </si>
  <si>
    <t>17.2</t>
  </si>
  <si>
    <t>17.3</t>
  </si>
  <si>
    <t>17.4</t>
  </si>
  <si>
    <t>17.5</t>
  </si>
  <si>
    <t>BENFEITORIAS</t>
  </si>
  <si>
    <t>17.6</t>
  </si>
  <si>
    <t>17.7</t>
  </si>
  <si>
    <t>17.8</t>
  </si>
  <si>
    <t>17.9</t>
  </si>
  <si>
    <t>INVESTIMENTOS COM RECURSOS INCENTIVADOS</t>
  </si>
  <si>
    <t>INVESTIMENTOS ATRAVÉS DE RECURSOS INCENTIVADOS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</si>
  <si>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</si>
  <si>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</si>
  <si>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</si>
  <si>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</si>
  <si>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</si>
  <si>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</si>
  <si>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</si>
  <si>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</si>
  <si>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</si>
  <si>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IV - PROJETOS A EXECUTAR E SALDOS DE RECURSOS VINCULADOS AO CONTRATO DE GESTÃO</t>
  </si>
  <si>
    <t>PROJETOS A EXECUTAR</t>
  </si>
  <si>
    <t>19.1</t>
  </si>
  <si>
    <t>SALDO INÍCIO EXERCÍCIO</t>
  </si>
  <si>
    <t>19.2</t>
  </si>
  <si>
    <t>REPASSES LÍQUIDOS DISPONÍVEIS</t>
  </si>
  <si>
    <t>19.3</t>
  </si>
  <si>
    <t>RECEITAS DE REPASSE APROPRIADAS</t>
  </si>
  <si>
    <t>19.4</t>
  </si>
  <si>
    <t>INVESTIMENTOS COM RECURSOS VINCULADOS AO CG</t>
  </si>
  <si>
    <t>19.5</t>
  </si>
  <si>
    <t>CONSTITUIÇÃO DE FUNDOS</t>
  </si>
  <si>
    <t>19.6</t>
  </si>
  <si>
    <t>VARIAÇÃO NO PERÍODO</t>
  </si>
  <si>
    <t>19</t>
  </si>
  <si>
    <t>SALDO PROJETOS A EXECUTAR</t>
  </si>
  <si>
    <t>OUTRAS RESERVAS: SALDOS</t>
  </si>
  <si>
    <t>20.1</t>
  </si>
  <si>
    <t>Recurso de Reserva</t>
  </si>
  <si>
    <t>20.2</t>
  </si>
  <si>
    <t>Recurso de Contingência</t>
  </si>
  <si>
    <t>RECEITAS FINANCEIRAS DOS RECURSOS DE RESERVAS E CONTINGÊNCIA</t>
  </si>
  <si>
    <t>20.3</t>
  </si>
  <si>
    <t>Doações e subvenções a apropriar (Imobilizado liquido de depreciação)</t>
  </si>
  <si>
    <t>20.4</t>
  </si>
  <si>
    <t>Receitas de projeto</t>
  </si>
  <si>
    <t>20.5</t>
  </si>
  <si>
    <t>Demais Saldos (especificar)</t>
  </si>
  <si>
    <t>20.6</t>
  </si>
  <si>
    <t>4.2.1 - 600k referente a reversão de ISS provisionado em anos anteriores referente ao contrato de gestão e bilheteria da exp OSGEMEOS</t>
  </si>
  <si>
    <t>4.2.4 - 500k aporte da APAC</t>
  </si>
  <si>
    <t>7.1.1.1 - 40% de Redução em relação ao orçamento original. Reajuste no beneficio VR/VA e inclusão de previdencia privada</t>
  </si>
  <si>
    <t>7.1.1.2 - 40% de Redução em relação ao orçamento original. Reajuste no beneficio VR/VA</t>
  </si>
  <si>
    <t>7.1.4.1 - Foi necessária a contratação de mais jovens aprendiz para preencher a cota necessaria frente a quantidade de vagas de funcionários</t>
  </si>
  <si>
    <t>8.6 - Contratação de ferramenta para suporte de venda da loja para outros estados</t>
  </si>
  <si>
    <t>8.7 - Valor  negociado com fornecedor para redução de escopo e horas contratadas</t>
  </si>
  <si>
    <t>9.2.3 - Realização baixa se deve ao periodo em que o museu permaneceu fechado por conta da pandemia da COVID 19</t>
  </si>
  <si>
    <t>9.2.4 - Economia após troca de fornecedor que presta o serviço</t>
  </si>
  <si>
    <t>9.3 - Compra de equipamentos para protocolos de segurança referente a COVID 19</t>
  </si>
  <si>
    <t>9.8 - Programa foi descontinuado para novas inclusões após corte no orçamento, porem os beneficios que estavam pactuados foram mantidos</t>
  </si>
  <si>
    <t>11.5 - Projeto será executado em 2021</t>
  </si>
  <si>
    <t>12.3.2 - Devido a pandemia da COVID 19, os atendimentos a grupo foram cancelados e por consequencia a produção e impressão de material.</t>
  </si>
  <si>
    <t>12.5.1 - Ajustes no site da APAC para atender demanda do tribunal de contas e para inclusão das vendas dos ingressos ONLINE</t>
  </si>
  <si>
    <t>12.5.2 - impressão de comunicaçao visual para atender a protocolos de segurança da COVID 19</t>
  </si>
  <si>
    <t>12.5.3 - Publicações não foram realizadas para cumprir protocolos de segurança para não disseminação da COVID 19</t>
  </si>
  <si>
    <t>12.5.5 - Rubrica executada a maior, pois foi necessaria impressão de novas comunicações visuais para visitantes e funcionarios para explicar os protocolos de segurança para COVID 19</t>
  </si>
  <si>
    <t>12.5.8 - Não foi executado devido a pandemia da COVID 19</t>
  </si>
  <si>
    <t>12.5.9 - O serviço foi cancelado durante periodo em que o museu ficou fechado. E não foi retomado após redução do orçamento de 2020</t>
  </si>
  <si>
    <t>São Paulo, 26 de fevereiro de 2021.</t>
  </si>
  <si>
    <t>_______________________________</t>
  </si>
  <si>
    <t>________________________</t>
  </si>
  <si>
    <t>Marcelo Costa Dantas</t>
  </si>
  <si>
    <t>Renata Ap Silva de Melo</t>
  </si>
  <si>
    <t>Diretor Administrativo Financeiro</t>
  </si>
  <si>
    <t>Coordenadora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</si>
</sst>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,##0.0_ ;[Red]\-#,##0.0\ "/>
    <numFmt numFmtId="167" formatCode="#,##0_ ;[Red]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name val="Courier New"/>
      <family val="3"/>
    </font>
    <font>
      <sz val="8"/>
      <name val="Verdana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49">
    <xf numFmtId="0" fontId="0" fillId="0" borderId="0" xfId="0"/>
    <xf numFmtId="0" fontId="3" fillId="2" borderId="0" xfId="3" applyFont="1" applyFill="1"/>
    <xf numFmtId="164" fontId="3" fillId="0" borderId="0" xfId="3" applyNumberFormat="1" applyFont="1"/>
    <xf numFmtId="164" fontId="3" fillId="0" borderId="0" xfId="1" applyNumberFormat="1" applyFont="1" applyFill="1" applyAlignment="1"/>
    <xf numFmtId="165" fontId="3" fillId="0" borderId="0" xfId="1" applyNumberFormat="1" applyFont="1" applyFill="1" applyAlignment="1">
      <alignment horizontal="center"/>
    </xf>
    <xf numFmtId="0" fontId="4" fillId="2" borderId="0" xfId="3" applyFont="1" applyFill="1"/>
    <xf numFmtId="0" fontId="5" fillId="2" borderId="0" xfId="3" applyFont="1" applyFill="1"/>
    <xf numFmtId="49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0" fontId="6" fillId="0" borderId="0" xfId="0" applyFont="1"/>
    <xf numFmtId="0" fontId="5" fillId="0" borderId="1" xfId="3" applyFont="1" applyBorder="1" applyAlignment="1">
      <alignment horizontal="left" indent="2"/>
    </xf>
    <xf numFmtId="0" fontId="6" fillId="0" borderId="0" xfId="0" applyFont="1" applyAlignment="1">
      <alignment horizontal="center"/>
    </xf>
    <xf numFmtId="164" fontId="5" fillId="0" borderId="3" xfId="3" applyNumberFormat="1" applyFont="1" applyBorder="1" applyAlignment="1">
      <alignment horizontal="center"/>
    </xf>
    <xf numFmtId="164" fontId="5" fillId="0" borderId="0" xfId="3" applyNumberFormat="1" applyFont="1" applyAlignment="1">
      <alignment horizontal="center"/>
    </xf>
    <xf numFmtId="0" fontId="3" fillId="0" borderId="0" xfId="3" applyFont="1" applyAlignment="1">
      <alignment horizontal="left" indent="2"/>
    </xf>
    <xf numFmtId="165" fontId="3" fillId="0" borderId="0" xfId="1" applyNumberFormat="1" applyFont="1" applyFill="1" applyBorder="1" applyAlignment="1">
      <alignment horizontal="center"/>
    </xf>
    <xf numFmtId="0" fontId="6" fillId="0" borderId="4" xfId="0" applyFont="1" applyBorder="1"/>
    <xf numFmtId="0" fontId="3" fillId="2" borderId="5" xfId="3" applyFont="1" applyFill="1" applyBorder="1"/>
    <xf numFmtId="0" fontId="3" fillId="2" borderId="4" xfId="3" applyFont="1" applyFill="1" applyBorder="1"/>
    <xf numFmtId="164" fontId="3" fillId="0" borderId="5" xfId="3" applyNumberFormat="1" applyFont="1" applyBorder="1"/>
    <xf numFmtId="0" fontId="5" fillId="0" borderId="4" xfId="3" applyFont="1" applyBorder="1" applyAlignment="1">
      <alignment horizontal="left" indent="2"/>
    </xf>
    <xf numFmtId="164" fontId="3" fillId="0" borderId="6" xfId="1" applyNumberFormat="1" applyFont="1" applyFill="1" applyBorder="1" applyAlignment="1"/>
    <xf numFmtId="0" fontId="6" fillId="0" borderId="6" xfId="0" applyFont="1" applyBorder="1"/>
    <xf numFmtId="0" fontId="6" fillId="0" borderId="5" xfId="0" applyFont="1" applyBorder="1"/>
    <xf numFmtId="164" fontId="5" fillId="0" borderId="1" xfId="3" quotePrefix="1" applyNumberFormat="1" applyFont="1" applyBorder="1" applyAlignment="1">
      <alignment horizontal="center"/>
    </xf>
    <xf numFmtId="164" fontId="5" fillId="0" borderId="0" xfId="3" quotePrefix="1" applyNumberFormat="1" applyFont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8" fillId="2" borderId="0" xfId="3" applyFont="1" applyFill="1"/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0" xfId="3" applyFont="1" applyFill="1"/>
    <xf numFmtId="164" fontId="5" fillId="0" borderId="0" xfId="3" applyNumberFormat="1" applyFont="1"/>
    <xf numFmtId="0" fontId="6" fillId="3" borderId="4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164" fontId="5" fillId="0" borderId="4" xfId="3" applyNumberFormat="1" applyFont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5" fillId="0" borderId="9" xfId="3" applyFont="1" applyBorder="1" applyAlignment="1">
      <alignment horizontal="left" vertical="center" wrapText="1"/>
    </xf>
    <xf numFmtId="0" fontId="5" fillId="0" borderId="10" xfId="3" applyFont="1" applyBorder="1" applyAlignment="1">
      <alignment horizontal="left" vertical="center" wrapText="1"/>
    </xf>
    <xf numFmtId="164" fontId="6" fillId="0" borderId="11" xfId="1" applyNumberFormat="1" applyFont="1" applyFill="1" applyBorder="1" applyAlignment="1">
      <alignment horizontal="center" vertical="center"/>
    </xf>
    <xf numFmtId="164" fontId="6" fillId="0" borderId="10" xfId="1" applyNumberFormat="1" applyFont="1" applyFill="1" applyBorder="1" applyAlignment="1">
      <alignment horizontal="center" vertical="center"/>
    </xf>
    <xf numFmtId="164" fontId="5" fillId="0" borderId="12" xfId="1" applyNumberFormat="1" applyFont="1" applyFill="1" applyBorder="1" applyAlignment="1">
      <alignment vertical="center"/>
    </xf>
    <xf numFmtId="164" fontId="5" fillId="0" borderId="13" xfId="1" applyNumberFormat="1" applyFont="1" applyFill="1" applyBorder="1" applyAlignment="1">
      <alignment horizontal="right" vertical="center"/>
    </xf>
    <xf numFmtId="166" fontId="5" fillId="0" borderId="12" xfId="3" applyNumberFormat="1" applyFont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3" fillId="2" borderId="1" xfId="3" applyFont="1" applyFill="1" applyBorder="1" applyAlignment="1">
      <alignment vertical="center"/>
    </xf>
    <xf numFmtId="0" fontId="9" fillId="0" borderId="4" xfId="3" applyFont="1" applyBorder="1" applyAlignment="1">
      <alignment vertical="center" wrapText="1"/>
    </xf>
    <xf numFmtId="0" fontId="9" fillId="0" borderId="6" xfId="3" applyFont="1" applyBorder="1" applyAlignment="1">
      <alignment vertical="center" wrapText="1"/>
    </xf>
    <xf numFmtId="165" fontId="6" fillId="0" borderId="7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165" fontId="5" fillId="0" borderId="13" xfId="1" applyNumberFormat="1" applyFont="1" applyFill="1" applyBorder="1" applyAlignment="1">
      <alignment horizontal="right" vertical="center"/>
    </xf>
    <xf numFmtId="167" fontId="5" fillId="0" borderId="12" xfId="2" applyNumberFormat="1" applyFont="1" applyFill="1" applyBorder="1" applyAlignment="1">
      <alignment horizontal="center" vertical="center"/>
    </xf>
    <xf numFmtId="0" fontId="3" fillId="0" borderId="6" xfId="3" applyFont="1" applyBorder="1" applyAlignment="1">
      <alignment vertical="center" wrapText="1"/>
    </xf>
    <xf numFmtId="165" fontId="10" fillId="0" borderId="7" xfId="1" applyNumberFormat="1" applyFont="1" applyFill="1" applyBorder="1" applyAlignment="1">
      <alignment horizontal="right" vertical="center"/>
    </xf>
    <xf numFmtId="165" fontId="10" fillId="0" borderId="6" xfId="1" applyNumberFormat="1" applyFont="1" applyFill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right" vertical="center"/>
    </xf>
    <xf numFmtId="165" fontId="10" fillId="0" borderId="1" xfId="1" applyNumberFormat="1" applyFont="1" applyBorder="1" applyAlignment="1">
      <alignment horizontal="right" vertical="center"/>
    </xf>
    <xf numFmtId="165" fontId="5" fillId="0" borderId="7" xfId="1" applyNumberFormat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43" fontId="11" fillId="0" borderId="6" xfId="1" applyFont="1" applyFill="1" applyBorder="1" applyAlignment="1">
      <alignment horizontal="right" vertical="center"/>
    </xf>
    <xf numFmtId="165" fontId="11" fillId="0" borderId="13" xfId="1" applyNumberFormat="1" applyFont="1" applyFill="1" applyBorder="1" applyAlignment="1">
      <alignment horizontal="right" vertical="center"/>
    </xf>
    <xf numFmtId="0" fontId="3" fillId="0" borderId="4" xfId="3" applyFont="1" applyBorder="1" applyAlignment="1">
      <alignment vertical="center" wrapText="1"/>
    </xf>
    <xf numFmtId="43" fontId="3" fillId="0" borderId="7" xfId="1" applyFont="1" applyFill="1" applyBorder="1" applyAlignment="1">
      <alignment vertical="center"/>
    </xf>
    <xf numFmtId="165" fontId="10" fillId="0" borderId="6" xfId="1" applyNumberFormat="1" applyFont="1" applyFill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43" fontId="12" fillId="0" borderId="6" xfId="1" applyFont="1" applyBorder="1" applyAlignment="1">
      <alignment vertical="center"/>
    </xf>
    <xf numFmtId="165" fontId="10" fillId="0" borderId="7" xfId="1" applyNumberFormat="1" applyFont="1" applyFill="1" applyBorder="1" applyAlignment="1">
      <alignment vertical="center"/>
    </xf>
    <xf numFmtId="43" fontId="10" fillId="0" borderId="6" xfId="1" applyFont="1" applyFill="1" applyBorder="1" applyAlignment="1">
      <alignment vertical="center"/>
    </xf>
    <xf numFmtId="0" fontId="5" fillId="0" borderId="4" xfId="3" applyFont="1" applyBorder="1" applyAlignment="1">
      <alignment horizontal="left" vertical="center"/>
    </xf>
    <xf numFmtId="0" fontId="9" fillId="0" borderId="6" xfId="3" applyFont="1" applyBorder="1" applyAlignment="1">
      <alignment horizontal="left" vertical="center"/>
    </xf>
    <xf numFmtId="165" fontId="6" fillId="0" borderId="11" xfId="1" applyNumberFormat="1" applyFont="1" applyFill="1" applyBorder="1" applyAlignment="1">
      <alignment vertical="center"/>
    </xf>
    <xf numFmtId="165" fontId="6" fillId="0" borderId="10" xfId="1" applyNumberFormat="1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0" fontId="5" fillId="0" borderId="6" xfId="3" applyFont="1" applyBorder="1" applyAlignment="1">
      <alignment horizontal="left" vertical="center"/>
    </xf>
    <xf numFmtId="43" fontId="6" fillId="0" borderId="11" xfId="1" applyFont="1" applyFill="1" applyBorder="1" applyAlignment="1">
      <alignment vertical="center"/>
    </xf>
    <xf numFmtId="43" fontId="6" fillId="0" borderId="12" xfId="1" applyFont="1" applyFill="1" applyBorder="1" applyAlignment="1">
      <alignment vertical="center"/>
    </xf>
    <xf numFmtId="166" fontId="5" fillId="0" borderId="1" xfId="3" applyNumberFormat="1" applyFont="1" applyBorder="1" applyAlignment="1">
      <alignment horizontal="center" vertical="center"/>
    </xf>
    <xf numFmtId="0" fontId="5" fillId="0" borderId="4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165" fontId="5" fillId="0" borderId="11" xfId="1" applyNumberFormat="1" applyFont="1" applyFill="1" applyBorder="1" applyAlignment="1">
      <alignment vertical="center"/>
    </xf>
    <xf numFmtId="0" fontId="5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43" fontId="3" fillId="0" borderId="1" xfId="1" applyFont="1" applyFill="1" applyBorder="1" applyAlignment="1">
      <alignment vertical="center"/>
    </xf>
    <xf numFmtId="43" fontId="5" fillId="0" borderId="13" xfId="1" applyFont="1" applyFill="1" applyBorder="1" applyAlignment="1">
      <alignment horizontal="right" vertical="center"/>
    </xf>
    <xf numFmtId="0" fontId="3" fillId="0" borderId="6" xfId="3" applyFont="1" applyBorder="1" applyAlignment="1">
      <alignment vertical="center"/>
    </xf>
    <xf numFmtId="165" fontId="10" fillId="0" borderId="11" xfId="1" applyNumberFormat="1" applyFont="1" applyFill="1" applyBorder="1" applyAlignment="1">
      <alignment vertical="center"/>
    </xf>
    <xf numFmtId="43" fontId="10" fillId="0" borderId="10" xfId="1" applyFont="1" applyFill="1" applyBorder="1" applyAlignment="1">
      <alignment vertical="center"/>
    </xf>
    <xf numFmtId="43" fontId="10" fillId="0" borderId="12" xfId="1" applyFont="1" applyFill="1" applyBorder="1" applyAlignment="1">
      <alignment vertical="center"/>
    </xf>
    <xf numFmtId="0" fontId="3" fillId="2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vertical="center"/>
    </xf>
    <xf numFmtId="166" fontId="5" fillId="0" borderId="0" xfId="3" applyNumberFormat="1" applyFont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166" fontId="3" fillId="0" borderId="0" xfId="1" applyNumberFormat="1" applyFont="1" applyFill="1" applyBorder="1" applyAlignment="1">
      <alignment vertical="center"/>
    </xf>
    <xf numFmtId="164" fontId="10" fillId="0" borderId="0" xfId="3" applyNumberFormat="1" applyFont="1"/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/>
    <xf numFmtId="166" fontId="3" fillId="0" borderId="0" xfId="3" applyNumberFormat="1" applyFont="1" applyAlignment="1">
      <alignment horizontal="center"/>
    </xf>
    <xf numFmtId="0" fontId="6" fillId="3" borderId="4" xfId="3" applyFont="1" applyFill="1" applyBorder="1" applyAlignment="1">
      <alignment horizontal="left" vertical="center" wrapText="1"/>
    </xf>
    <xf numFmtId="0" fontId="6" fillId="3" borderId="5" xfId="3" applyFont="1" applyFill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6" fontId="5" fillId="0" borderId="1" xfId="3" applyNumberFormat="1" applyFont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vertical="center"/>
    </xf>
    <xf numFmtId="0" fontId="5" fillId="3" borderId="9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>
      <alignment horizontal="left" vertical="center" wrapText="1"/>
    </xf>
    <xf numFmtId="167" fontId="6" fillId="0" borderId="11" xfId="1" applyNumberFormat="1" applyFont="1" applyFill="1" applyBorder="1" applyAlignment="1">
      <alignment vertical="center"/>
    </xf>
    <xf numFmtId="167" fontId="6" fillId="0" borderId="9" xfId="1" applyNumberFormat="1" applyFont="1" applyFill="1" applyBorder="1" applyAlignment="1">
      <alignment vertical="center"/>
    </xf>
    <xf numFmtId="167" fontId="5" fillId="0" borderId="12" xfId="1" applyNumberFormat="1" applyFont="1" applyFill="1" applyBorder="1" applyAlignment="1">
      <alignment horizontal="right" vertical="center"/>
    </xf>
    <xf numFmtId="167" fontId="5" fillId="0" borderId="13" xfId="1" applyNumberFormat="1" applyFont="1" applyFill="1" applyBorder="1" applyAlignment="1">
      <alignment horizontal="right" vertical="center"/>
    </xf>
    <xf numFmtId="0" fontId="5" fillId="3" borderId="4" xfId="3" applyFont="1" applyFill="1" applyBorder="1" applyAlignment="1">
      <alignment horizontal="left" vertical="center" wrapText="1"/>
    </xf>
    <xf numFmtId="0" fontId="5" fillId="3" borderId="6" xfId="3" applyFont="1" applyFill="1" applyBorder="1" applyAlignment="1">
      <alignment horizontal="left" vertical="center" wrapText="1"/>
    </xf>
    <xf numFmtId="167" fontId="6" fillId="0" borderId="7" xfId="1" applyNumberFormat="1" applyFont="1" applyFill="1" applyBorder="1" applyAlignment="1">
      <alignment vertical="center"/>
    </xf>
    <xf numFmtId="167" fontId="6" fillId="0" borderId="4" xfId="1" applyNumberFormat="1" applyFont="1" applyFill="1" applyBorder="1" applyAlignment="1">
      <alignment vertical="center"/>
    </xf>
    <xf numFmtId="167" fontId="6" fillId="0" borderId="1" xfId="1" applyNumberFormat="1" applyFont="1" applyFill="1" applyBorder="1" applyAlignment="1">
      <alignment vertical="center"/>
    </xf>
    <xf numFmtId="167" fontId="6" fillId="0" borderId="14" xfId="1" applyNumberFormat="1" applyFont="1" applyFill="1" applyBorder="1" applyAlignment="1">
      <alignment vertical="center"/>
    </xf>
    <xf numFmtId="49" fontId="3" fillId="2" borderId="1" xfId="3" applyNumberFormat="1" applyFont="1" applyFill="1" applyBorder="1" applyAlignment="1">
      <alignment vertical="center"/>
    </xf>
    <xf numFmtId="0" fontId="9" fillId="2" borderId="4" xfId="3" applyFont="1" applyFill="1" applyBorder="1" applyAlignment="1">
      <alignment vertical="center" wrapText="1"/>
    </xf>
    <xf numFmtId="0" fontId="13" fillId="2" borderId="6" xfId="3" applyFont="1" applyFill="1" applyBorder="1" applyAlignment="1">
      <alignment vertical="center" wrapText="1"/>
    </xf>
    <xf numFmtId="167" fontId="10" fillId="0" borderId="7" xfId="1" applyNumberFormat="1" applyFont="1" applyFill="1" applyBorder="1" applyAlignment="1">
      <alignment vertical="center"/>
    </xf>
    <xf numFmtId="167" fontId="10" fillId="0" borderId="9" xfId="1" applyNumberFormat="1" applyFont="1" applyFill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center"/>
    </xf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vertical="center"/>
    </xf>
    <xf numFmtId="0" fontId="13" fillId="2" borderId="4" xfId="3" applyFont="1" applyFill="1" applyBorder="1" applyAlignment="1">
      <alignment vertical="center" wrapText="1"/>
    </xf>
    <xf numFmtId="43" fontId="10" fillId="0" borderId="9" xfId="1" applyFont="1" applyFill="1" applyBorder="1" applyAlignment="1">
      <alignment vertical="center"/>
    </xf>
    <xf numFmtId="43" fontId="3" fillId="0" borderId="12" xfId="1" applyFont="1" applyFill="1" applyBorder="1" applyAlignment="1">
      <alignment horizontal="right" vertical="center"/>
    </xf>
    <xf numFmtId="165" fontId="3" fillId="0" borderId="12" xfId="1" applyNumberFormat="1" applyFont="1" applyFill="1" applyBorder="1" applyAlignment="1">
      <alignment horizontal="right" vertical="center"/>
    </xf>
    <xf numFmtId="43" fontId="10" fillId="0" borderId="7" xfId="1" applyFont="1" applyFill="1" applyBorder="1" applyAlignment="1">
      <alignment vertical="center"/>
    </xf>
    <xf numFmtId="0" fontId="5" fillId="3" borderId="4" xfId="3" applyFont="1" applyFill="1" applyBorder="1" applyAlignment="1">
      <alignment horizontal="left" vertical="center"/>
    </xf>
    <xf numFmtId="0" fontId="5" fillId="3" borderId="6" xfId="3" applyFont="1" applyFill="1" applyBorder="1" applyAlignment="1">
      <alignment horizontal="left" vertical="center"/>
    </xf>
    <xf numFmtId="167" fontId="5" fillId="0" borderId="8" xfId="1" applyNumberFormat="1" applyFont="1" applyFill="1" applyBorder="1" applyAlignment="1">
      <alignment horizontal="right" vertical="center"/>
    </xf>
    <xf numFmtId="0" fontId="15" fillId="2" borderId="0" xfId="3" applyFont="1" applyFill="1" applyAlignment="1">
      <alignment vertical="center"/>
    </xf>
    <xf numFmtId="43" fontId="15" fillId="2" borderId="0" xfId="3" applyNumberFormat="1" applyFont="1" applyFill="1" applyAlignment="1">
      <alignment vertical="center"/>
    </xf>
    <xf numFmtId="4" fontId="15" fillId="2" borderId="0" xfId="3" applyNumberFormat="1" applyFont="1" applyFill="1" applyAlignment="1">
      <alignment vertical="center"/>
    </xf>
    <xf numFmtId="49" fontId="3" fillId="2" borderId="0" xfId="3" applyNumberFormat="1" applyFont="1" applyFill="1" applyAlignment="1">
      <alignment vertical="center"/>
    </xf>
    <xf numFmtId="0" fontId="5" fillId="2" borderId="0" xfId="3" applyFont="1" applyFill="1" applyAlignment="1">
      <alignment horizontal="left" vertical="center"/>
    </xf>
    <xf numFmtId="164" fontId="6" fillId="2" borderId="0" xfId="1" applyNumberFormat="1" applyFont="1" applyFill="1" applyBorder="1" applyAlignment="1">
      <alignment vertical="center"/>
    </xf>
    <xf numFmtId="167" fontId="5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 applyAlignment="1">
      <alignment horizontal="center" vertical="center"/>
    </xf>
    <xf numFmtId="49" fontId="3" fillId="2" borderId="4" xfId="3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7" fontId="5" fillId="0" borderId="1" xfId="1" applyNumberFormat="1" applyFont="1" applyFill="1" applyBorder="1" applyAlignment="1">
      <alignment horizontal="right" vertical="center"/>
    </xf>
    <xf numFmtId="167" fontId="5" fillId="0" borderId="1" xfId="2" applyNumberFormat="1" applyFont="1" applyFill="1" applyBorder="1" applyAlignment="1">
      <alignment horizontal="center" vertical="center"/>
    </xf>
    <xf numFmtId="0" fontId="3" fillId="2" borderId="0" xfId="3" applyFont="1" applyFill="1" applyAlignment="1">
      <alignment vertical="center" wrapText="1"/>
    </xf>
    <xf numFmtId="164" fontId="10" fillId="0" borderId="0" xfId="1" applyNumberFormat="1" applyFont="1" applyFill="1" applyBorder="1" applyAlignment="1">
      <alignment vertical="center"/>
    </xf>
    <xf numFmtId="0" fontId="6" fillId="3" borderId="4" xfId="3" applyFont="1" applyFill="1" applyBorder="1" applyAlignment="1">
      <alignment horizontal="left" vertical="center"/>
    </xf>
    <xf numFmtId="0" fontId="6" fillId="3" borderId="15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left" vertical="center"/>
    </xf>
    <xf numFmtId="0" fontId="5" fillId="4" borderId="9" xfId="3" applyFont="1" applyFill="1" applyBorder="1" applyAlignment="1">
      <alignment horizontal="left" vertical="center" wrapText="1"/>
    </xf>
    <xf numFmtId="0" fontId="5" fillId="4" borderId="10" xfId="3" applyFont="1" applyFill="1" applyBorder="1" applyAlignment="1">
      <alignment horizontal="left" vertical="center" wrapText="1"/>
    </xf>
    <xf numFmtId="167" fontId="5" fillId="0" borderId="11" xfId="1" applyNumberFormat="1" applyFont="1" applyFill="1" applyBorder="1" applyAlignment="1">
      <alignment vertical="center" wrapText="1"/>
    </xf>
    <xf numFmtId="167" fontId="5" fillId="0" borderId="1" xfId="1" applyNumberFormat="1" applyFont="1" applyFill="1" applyBorder="1" applyAlignment="1">
      <alignment vertical="center" wrapText="1"/>
    </xf>
    <xf numFmtId="167" fontId="5" fillId="0" borderId="13" xfId="1" applyNumberFormat="1" applyFont="1" applyFill="1" applyBorder="1" applyAlignment="1">
      <alignment vertical="center" wrapText="1"/>
    </xf>
    <xf numFmtId="164" fontId="5" fillId="0" borderId="13" xfId="1" applyNumberFormat="1" applyFont="1" applyFill="1" applyBorder="1" applyAlignment="1">
      <alignment vertical="center" wrapText="1"/>
    </xf>
    <xf numFmtId="4" fontId="0" fillId="5" borderId="4" xfId="0" applyNumberFormat="1" applyFill="1" applyBorder="1"/>
    <xf numFmtId="0" fontId="5" fillId="2" borderId="4" xfId="3" applyFont="1" applyFill="1" applyBorder="1" applyAlignment="1">
      <alignment vertical="center" wrapText="1"/>
    </xf>
    <xf numFmtId="0" fontId="5" fillId="2" borderId="6" xfId="3" applyFont="1" applyFill="1" applyBorder="1" applyAlignment="1">
      <alignment vertical="center" wrapText="1"/>
    </xf>
    <xf numFmtId="167" fontId="5" fillId="0" borderId="7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167" fontId="5" fillId="0" borderId="1" xfId="1" applyNumberFormat="1" applyFont="1" applyFill="1" applyBorder="1" applyAlignment="1">
      <alignment vertical="center"/>
    </xf>
    <xf numFmtId="167" fontId="5" fillId="0" borderId="8" xfId="1" applyNumberFormat="1" applyFont="1" applyFill="1" applyBorder="1" applyAlignment="1">
      <alignment vertical="center" wrapText="1"/>
    </xf>
    <xf numFmtId="164" fontId="4" fillId="2" borderId="0" xfId="3" applyNumberFormat="1" applyFont="1" applyFill="1" applyAlignment="1">
      <alignment vertical="center"/>
    </xf>
    <xf numFmtId="0" fontId="3" fillId="2" borderId="4" xfId="3" applyFont="1" applyFill="1" applyBorder="1" applyAlignment="1">
      <alignment vertical="center" wrapText="1"/>
    </xf>
    <xf numFmtId="0" fontId="3" fillId="2" borderId="6" xfId="3" applyFont="1" applyFill="1" applyBorder="1" applyAlignment="1">
      <alignment vertical="center" wrapText="1"/>
    </xf>
    <xf numFmtId="167" fontId="3" fillId="0" borderId="7" xfId="1" applyNumberFormat="1" applyFont="1" applyFill="1" applyBorder="1" applyAlignment="1">
      <alignment vertical="center"/>
    </xf>
    <xf numFmtId="167" fontId="3" fillId="0" borderId="8" xfId="1" applyNumberFormat="1" applyFont="1" applyFill="1" applyBorder="1" applyAlignment="1">
      <alignment vertical="center" wrapText="1"/>
    </xf>
    <xf numFmtId="0" fontId="5" fillId="4" borderId="4" xfId="3" applyFont="1" applyFill="1" applyBorder="1" applyAlignment="1">
      <alignment horizontal="left" vertical="center" wrapText="1"/>
    </xf>
    <xf numFmtId="0" fontId="5" fillId="4" borderId="6" xfId="3" applyFont="1" applyFill="1" applyBorder="1" applyAlignment="1">
      <alignment horizontal="left" vertical="center" wrapText="1"/>
    </xf>
    <xf numFmtId="0" fontId="5" fillId="4" borderId="4" xfId="3" applyFont="1" applyFill="1" applyBorder="1" applyAlignment="1">
      <alignment vertical="center"/>
    </xf>
    <xf numFmtId="0" fontId="5" fillId="4" borderId="6" xfId="3" applyFont="1" applyFill="1" applyBorder="1" applyAlignment="1">
      <alignment vertical="center"/>
    </xf>
    <xf numFmtId="164" fontId="6" fillId="0" borderId="9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right" vertical="center"/>
    </xf>
    <xf numFmtId="0" fontId="4" fillId="0" borderId="0" xfId="3" applyFont="1" applyAlignment="1">
      <alignment vertical="center"/>
    </xf>
    <xf numFmtId="43" fontId="3" fillId="0" borderId="8" xfId="1" applyFont="1" applyFill="1" applyBorder="1" applyAlignment="1">
      <alignment vertical="center" wrapText="1"/>
    </xf>
    <xf numFmtId="167" fontId="5" fillId="4" borderId="1" xfId="4" applyNumberFormat="1" applyFont="1" applyFill="1" applyBorder="1" applyAlignment="1">
      <alignment horizontal="left" vertical="center"/>
    </xf>
    <xf numFmtId="0" fontId="5" fillId="4" borderId="4" xfId="5" applyFont="1" applyFill="1" applyBorder="1" applyAlignment="1">
      <alignment horizontal="left" vertical="center" wrapText="1"/>
    </xf>
    <xf numFmtId="0" fontId="5" fillId="4" borderId="6" xfId="5" applyFont="1" applyFill="1" applyBorder="1" applyAlignment="1">
      <alignment horizontal="left" vertical="center" wrapText="1"/>
    </xf>
    <xf numFmtId="43" fontId="11" fillId="0" borderId="7" xfId="1" applyFont="1" applyFill="1" applyBorder="1" applyAlignment="1">
      <alignment vertical="center"/>
    </xf>
    <xf numFmtId="43" fontId="5" fillId="0" borderId="8" xfId="1" applyFont="1" applyFill="1" applyBorder="1" applyAlignment="1">
      <alignment vertical="center" wrapText="1"/>
    </xf>
    <xf numFmtId="0" fontId="3" fillId="2" borderId="1" xfId="5" applyFont="1" applyFill="1" applyBorder="1" applyAlignment="1">
      <alignment horizontal="left" vertical="center"/>
    </xf>
    <xf numFmtId="0" fontId="3" fillId="2" borderId="4" xfId="5" applyFont="1" applyFill="1" applyBorder="1" applyAlignment="1">
      <alignment vertical="center" wrapText="1"/>
    </xf>
    <xf numFmtId="0" fontId="3" fillId="2" borderId="6" xfId="5" applyFont="1" applyFill="1" applyBorder="1" applyAlignment="1">
      <alignment vertical="center" wrapText="1"/>
    </xf>
    <xf numFmtId="0" fontId="3" fillId="0" borderId="6" xfId="5" applyFont="1" applyFill="1" applyBorder="1" applyAlignment="1">
      <alignment vertical="center" wrapText="1"/>
    </xf>
    <xf numFmtId="43" fontId="12" fillId="0" borderId="7" xfId="1" applyFont="1" applyFill="1" applyBorder="1" applyAlignment="1">
      <alignment vertical="center"/>
    </xf>
    <xf numFmtId="0" fontId="5" fillId="4" borderId="4" xfId="3" applyFont="1" applyFill="1" applyBorder="1" applyAlignment="1">
      <alignment vertical="center" wrapText="1"/>
    </xf>
    <xf numFmtId="0" fontId="5" fillId="4" borderId="5" xfId="3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/>
    </xf>
    <xf numFmtId="0" fontId="3" fillId="0" borderId="1" xfId="3" applyFont="1" applyBorder="1" applyAlignment="1">
      <alignment horizontal="left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5" fillId="2" borderId="4" xfId="3" applyFont="1" applyFill="1" applyBorder="1" applyAlignment="1">
      <alignment horizontal="left" vertical="center"/>
    </xf>
    <xf numFmtId="164" fontId="6" fillId="0" borderId="4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164" fontId="5" fillId="0" borderId="8" xfId="1" applyNumberFormat="1" applyFont="1" applyFill="1" applyBorder="1" applyAlignment="1">
      <alignment vertical="center" wrapText="1"/>
    </xf>
    <xf numFmtId="0" fontId="5" fillId="4" borderId="6" xfId="3" applyFont="1" applyFill="1" applyBorder="1" applyAlignment="1">
      <alignment horizontal="left" vertical="center"/>
    </xf>
    <xf numFmtId="167" fontId="5" fillId="0" borderId="4" xfId="1" applyNumberFormat="1" applyFont="1" applyFill="1" applyBorder="1" applyAlignment="1">
      <alignment vertical="center"/>
    </xf>
    <xf numFmtId="167" fontId="3" fillId="0" borderId="7" xfId="1" applyNumberFormat="1" applyFont="1" applyFill="1" applyBorder="1" applyAlignment="1">
      <alignment horizontal="right" vertical="center"/>
    </xf>
    <xf numFmtId="0" fontId="5" fillId="4" borderId="6" xfId="3" applyFont="1" applyFill="1" applyBorder="1" applyAlignment="1">
      <alignment vertical="center" wrapText="1"/>
    </xf>
    <xf numFmtId="0" fontId="4" fillId="2" borderId="4" xfId="3" applyFont="1" applyFill="1" applyBorder="1" applyAlignment="1">
      <alignment vertical="center"/>
    </xf>
    <xf numFmtId="167" fontId="5" fillId="4" borderId="1" xfId="4" applyNumberFormat="1" applyFont="1" applyFill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3" fillId="0" borderId="1" xfId="5" applyFont="1" applyFill="1" applyBorder="1" applyAlignment="1">
      <alignment horizontal="left" vertical="center"/>
    </xf>
    <xf numFmtId="0" fontId="17" fillId="0" borderId="4" xfId="0" applyFont="1" applyBorder="1" applyAlignment="1">
      <alignment vertical="center" wrapText="1"/>
    </xf>
    <xf numFmtId="164" fontId="3" fillId="0" borderId="7" xfId="1" applyNumberFormat="1" applyFont="1" applyFill="1" applyBorder="1" applyAlignment="1">
      <alignment vertical="center"/>
    </xf>
    <xf numFmtId="164" fontId="10" fillId="0" borderId="9" xfId="1" applyNumberFormat="1" applyFont="1" applyFill="1" applyBorder="1" applyAlignment="1">
      <alignment vertical="center"/>
    </xf>
    <xf numFmtId="0" fontId="5" fillId="4" borderId="5" xfId="3" applyFont="1" applyFill="1" applyBorder="1" applyAlignment="1">
      <alignment vertical="center"/>
    </xf>
    <xf numFmtId="164" fontId="5" fillId="0" borderId="7" xfId="1" applyNumberFormat="1" applyFont="1" applyFill="1" applyBorder="1" applyAlignment="1">
      <alignment vertical="center"/>
    </xf>
    <xf numFmtId="164" fontId="5" fillId="0" borderId="6" xfId="1" applyNumberFormat="1" applyFont="1" applyFill="1" applyBorder="1" applyAlignment="1">
      <alignment vertical="center"/>
    </xf>
    <xf numFmtId="164" fontId="5" fillId="0" borderId="12" xfId="1" applyNumberFormat="1" applyFont="1" applyFill="1" applyBorder="1" applyAlignment="1">
      <alignment horizontal="right" vertical="center"/>
    </xf>
    <xf numFmtId="0" fontId="3" fillId="0" borderId="4" xfId="5" applyFont="1" applyFill="1" applyBorder="1" applyAlignment="1">
      <alignment vertical="center" wrapText="1"/>
    </xf>
    <xf numFmtId="164" fontId="5" fillId="0" borderId="4" xfId="1" applyNumberFormat="1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7" fontId="5" fillId="0" borderId="1" xfId="3" applyNumberFormat="1" applyFont="1" applyBorder="1" applyAlignment="1">
      <alignment horizontal="center" vertical="center"/>
    </xf>
    <xf numFmtId="0" fontId="3" fillId="2" borderId="0" xfId="3" applyFont="1" applyFill="1" applyAlignment="1">
      <alignment horizontal="left"/>
    </xf>
    <xf numFmtId="164" fontId="10" fillId="0" borderId="0" xfId="1" applyNumberFormat="1" applyFont="1" applyFill="1" applyBorder="1"/>
    <xf numFmtId="166" fontId="5" fillId="0" borderId="6" xfId="3" applyNumberFormat="1" applyFont="1" applyBorder="1" applyAlignment="1">
      <alignment horizontal="center" vertical="center"/>
    </xf>
    <xf numFmtId="0" fontId="5" fillId="4" borderId="4" xfId="5" applyFont="1" applyFill="1" applyBorder="1" applyAlignment="1">
      <alignment horizontal="left" vertical="center" wrapText="1"/>
    </xf>
    <xf numFmtId="0" fontId="5" fillId="4" borderId="6" xfId="5" applyFont="1" applyFill="1" applyBorder="1" applyAlignment="1">
      <alignment horizontal="left" vertical="center" wrapText="1"/>
    </xf>
    <xf numFmtId="167" fontId="6" fillId="0" borderId="6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166" fontId="5" fillId="0" borderId="12" xfId="2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/>
    </xf>
    <xf numFmtId="0" fontId="5" fillId="0" borderId="4" xfId="3" applyFont="1" applyBorder="1" applyAlignment="1">
      <alignment vertical="center" wrapText="1"/>
    </xf>
    <xf numFmtId="167" fontId="10" fillId="0" borderId="7" xfId="1" applyNumberFormat="1" applyFont="1" applyFill="1" applyBorder="1"/>
    <xf numFmtId="0" fontId="3" fillId="2" borderId="1" xfId="3" applyFont="1" applyFill="1" applyBorder="1" applyAlignment="1">
      <alignment horizontal="left"/>
    </xf>
    <xf numFmtId="167" fontId="10" fillId="0" borderId="0" xfId="1" applyNumberFormat="1" applyFont="1" applyFill="1" applyBorder="1"/>
    <xf numFmtId="167" fontId="3" fillId="0" borderId="0" xfId="1" applyNumberFormat="1" applyFont="1" applyFill="1" applyBorder="1"/>
    <xf numFmtId="167" fontId="5" fillId="0" borderId="5" xfId="1" applyNumberFormat="1" applyFont="1" applyFill="1" applyBorder="1" applyAlignment="1">
      <alignment vertical="center"/>
    </xf>
    <xf numFmtId="43" fontId="4" fillId="2" borderId="0" xfId="3" applyNumberFormat="1" applyFont="1" applyFill="1" applyAlignment="1">
      <alignment vertical="center"/>
    </xf>
    <xf numFmtId="0" fontId="3" fillId="2" borderId="16" xfId="3" applyFont="1" applyFill="1" applyBorder="1" applyAlignment="1">
      <alignment horizontal="left"/>
    </xf>
    <xf numFmtId="164" fontId="10" fillId="0" borderId="6" xfId="1" applyNumberFormat="1" applyFont="1" applyFill="1" applyBorder="1"/>
    <xf numFmtId="164" fontId="5" fillId="0" borderId="6" xfId="1" applyNumberFormat="1" applyFont="1" applyFill="1" applyBorder="1" applyAlignment="1"/>
    <xf numFmtId="164" fontId="3" fillId="0" borderId="6" xfId="1" applyNumberFormat="1" applyFont="1" applyFill="1" applyBorder="1"/>
    <xf numFmtId="0" fontId="5" fillId="2" borderId="15" xfId="3" applyFont="1" applyFill="1" applyBorder="1" applyAlignment="1">
      <alignment horizontal="left" vertical="center"/>
    </xf>
    <xf numFmtId="0" fontId="5" fillId="4" borderId="5" xfId="3" applyFont="1" applyFill="1" applyBorder="1" applyAlignment="1">
      <alignment horizontal="left" vertical="center" wrapText="1"/>
    </xf>
    <xf numFmtId="164" fontId="5" fillId="0" borderId="14" xfId="1" applyNumberFormat="1" applyFont="1" applyFill="1" applyBorder="1" applyAlignment="1">
      <alignment vertical="center"/>
    </xf>
    <xf numFmtId="0" fontId="3" fillId="2" borderId="16" xfId="3" applyFont="1" applyFill="1" applyBorder="1"/>
    <xf numFmtId="164" fontId="10" fillId="0" borderId="16" xfId="1" applyNumberFormat="1" applyFont="1" applyFill="1" applyBorder="1"/>
    <xf numFmtId="164" fontId="3" fillId="0" borderId="16" xfId="1" applyNumberFormat="1" applyFont="1" applyFill="1" applyBorder="1" applyAlignment="1"/>
    <xf numFmtId="165" fontId="3" fillId="0" borderId="16" xfId="1" applyNumberFormat="1" applyFont="1" applyFill="1" applyBorder="1" applyAlignment="1">
      <alignment horizontal="center"/>
    </xf>
    <xf numFmtId="0" fontId="9" fillId="2" borderId="0" xfId="3" applyFont="1" applyFill="1" applyAlignment="1">
      <alignment horizontal="left"/>
    </xf>
    <xf numFmtId="165" fontId="3" fillId="0" borderId="0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horizontal="center" vertical="center"/>
    </xf>
    <xf numFmtId="164" fontId="5" fillId="0" borderId="7" xfId="3" applyNumberFormat="1" applyFont="1" applyBorder="1" applyAlignment="1">
      <alignment horizontal="center" vertical="center"/>
    </xf>
    <xf numFmtId="166" fontId="5" fillId="0" borderId="0" xfId="3" applyNumberFormat="1" applyFont="1" applyAlignment="1">
      <alignment horizontal="center" vertical="center" wrapText="1"/>
    </xf>
    <xf numFmtId="164" fontId="10" fillId="0" borderId="4" xfId="3" applyNumberFormat="1" applyFont="1" applyBorder="1"/>
    <xf numFmtId="166" fontId="3" fillId="0" borderId="5" xfId="3" applyNumberFormat="1" applyFont="1" applyBorder="1" applyAlignment="1">
      <alignment horizontal="center"/>
    </xf>
    <xf numFmtId="0" fontId="5" fillId="3" borderId="1" xfId="3" applyFont="1" applyFill="1" applyBorder="1" applyAlignment="1">
      <alignment vertical="center" wrapText="1"/>
    </xf>
    <xf numFmtId="0" fontId="5" fillId="3" borderId="4" xfId="3" applyFont="1" applyFill="1" applyBorder="1" applyAlignment="1">
      <alignment vertical="center" wrapText="1"/>
    </xf>
    <xf numFmtId="167" fontId="6" fillId="0" borderId="7" xfId="1" applyNumberFormat="1" applyFont="1" applyFill="1" applyBorder="1" applyAlignment="1"/>
    <xf numFmtId="167" fontId="5" fillId="0" borderId="5" xfId="1" applyNumberFormat="1" applyFont="1" applyFill="1" applyBorder="1"/>
    <xf numFmtId="164" fontId="5" fillId="0" borderId="5" xfId="1" applyNumberFormat="1" applyFont="1" applyFill="1" applyBorder="1"/>
    <xf numFmtId="167" fontId="5" fillId="0" borderId="17" xfId="1" applyNumberFormat="1" applyFont="1" applyFill="1" applyBorder="1"/>
    <xf numFmtId="167" fontId="5" fillId="0" borderId="1" xfId="2" applyNumberFormat="1" applyFont="1" applyFill="1" applyBorder="1" applyAlignment="1">
      <alignment horizontal="center"/>
    </xf>
    <xf numFmtId="167" fontId="5" fillId="0" borderId="0" xfId="2" applyNumberFormat="1" applyFont="1" applyFill="1" applyBorder="1" applyAlignment="1">
      <alignment horizontal="center"/>
    </xf>
    <xf numFmtId="0" fontId="3" fillId="2" borderId="6" xfId="3" applyFont="1" applyFill="1" applyBorder="1"/>
    <xf numFmtId="167" fontId="3" fillId="0" borderId="6" xfId="1" applyNumberFormat="1" applyFont="1" applyFill="1" applyBorder="1" applyAlignment="1">
      <alignment vertical="center"/>
    </xf>
    <xf numFmtId="167" fontId="3" fillId="0" borderId="12" xfId="1" applyNumberFormat="1" applyFont="1" applyBorder="1" applyAlignment="1">
      <alignment horizontal="right" vertical="center"/>
    </xf>
    <xf numFmtId="167" fontId="3" fillId="0" borderId="17" xfId="1" applyNumberFormat="1" applyFont="1" applyFill="1" applyBorder="1"/>
    <xf numFmtId="0" fontId="10" fillId="2" borderId="4" xfId="0" applyFont="1" applyFill="1" applyBorder="1"/>
    <xf numFmtId="0" fontId="10" fillId="2" borderId="6" xfId="0" applyFont="1" applyFill="1" applyBorder="1"/>
    <xf numFmtId="166" fontId="5" fillId="0" borderId="1" xfId="2" applyNumberFormat="1" applyFont="1" applyFill="1" applyBorder="1" applyAlignment="1">
      <alignment horizontal="center"/>
    </xf>
    <xf numFmtId="166" fontId="5" fillId="0" borderId="0" xfId="2" applyNumberFormat="1" applyFont="1" applyFill="1" applyBorder="1" applyAlignment="1">
      <alignment horizontal="center"/>
    </xf>
    <xf numFmtId="167" fontId="3" fillId="0" borderId="1" xfId="1" applyNumberFormat="1" applyFont="1" applyFill="1" applyBorder="1" applyAlignment="1">
      <alignment vertical="center"/>
    </xf>
    <xf numFmtId="167" fontId="3" fillId="0" borderId="4" xfId="1" applyNumberFormat="1" applyFont="1" applyFill="1" applyBorder="1"/>
    <xf numFmtId="0" fontId="0" fillId="0" borderId="0" xfId="0" applyAlignment="1">
      <alignment horizontal="left"/>
    </xf>
    <xf numFmtId="167" fontId="3" fillId="0" borderId="0" xfId="1" applyNumberFormat="1" applyFont="1" applyFill="1" applyAlignment="1">
      <alignment horizontal="center"/>
    </xf>
    <xf numFmtId="0" fontId="5" fillId="3" borderId="1" xfId="3" applyFont="1" applyFill="1" applyBorder="1" applyAlignment="1">
      <alignment horizontal="left" vertical="center" wrapText="1"/>
    </xf>
    <xf numFmtId="164" fontId="6" fillId="0" borderId="7" xfId="1" applyNumberFormat="1" applyFont="1" applyFill="1" applyBorder="1"/>
    <xf numFmtId="164" fontId="5" fillId="0" borderId="17" xfId="1" applyNumberFormat="1" applyFont="1" applyFill="1" applyBorder="1"/>
    <xf numFmtId="166" fontId="5" fillId="0" borderId="1" xfId="2" applyNumberFormat="1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right"/>
    </xf>
    <xf numFmtId="164" fontId="10" fillId="0" borderId="7" xfId="1" applyNumberFormat="1" applyFont="1" applyFill="1" applyBorder="1"/>
    <xf numFmtId="164" fontId="3" fillId="0" borderId="5" xfId="1" applyNumberFormat="1" applyFont="1" applyFill="1" applyBorder="1" applyAlignment="1"/>
    <xf numFmtId="164" fontId="3" fillId="0" borderId="1" xfId="1" applyNumberFormat="1" applyFont="1" applyFill="1" applyBorder="1"/>
    <xf numFmtId="164" fontId="3" fillId="0" borderId="4" xfId="1" applyNumberFormat="1" applyFont="1" applyFill="1" applyBorder="1"/>
    <xf numFmtId="0" fontId="4" fillId="2" borderId="0" xfId="3" applyFont="1" applyFill="1" applyAlignment="1">
      <alignment horizontal="center"/>
    </xf>
    <xf numFmtId="167" fontId="3" fillId="0" borderId="0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left"/>
    </xf>
    <xf numFmtId="164" fontId="3" fillId="0" borderId="5" xfId="1" applyNumberFormat="1" applyFont="1" applyFill="1" applyBorder="1"/>
    <xf numFmtId="164" fontId="10" fillId="0" borderId="0" xfId="3" applyNumberFormat="1" applyFont="1" applyAlignment="1">
      <alignment horizontal="center"/>
    </xf>
    <xf numFmtId="164" fontId="6" fillId="0" borderId="5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0" fontId="3" fillId="2" borderId="9" xfId="3" applyFont="1" applyFill="1" applyBorder="1"/>
    <xf numFmtId="0" fontId="3" fillId="2" borderId="10" xfId="3" applyFont="1" applyFill="1" applyBorder="1"/>
    <xf numFmtId="167" fontId="10" fillId="0" borderId="11" xfId="1" applyNumberFormat="1" applyFont="1" applyFill="1" applyBorder="1"/>
    <xf numFmtId="167" fontId="3" fillId="0" borderId="18" xfId="1" applyNumberFormat="1" applyFont="1" applyFill="1" applyBorder="1" applyAlignment="1"/>
    <xf numFmtId="167" fontId="3" fillId="0" borderId="18" xfId="1" applyNumberFormat="1" applyFont="1" applyFill="1" applyBorder="1"/>
    <xf numFmtId="167" fontId="3" fillId="0" borderId="7" xfId="1" applyNumberFormat="1" applyFont="1" applyFill="1" applyBorder="1"/>
    <xf numFmtId="164" fontId="5" fillId="0" borderId="13" xfId="1" applyNumberFormat="1" applyFont="1" applyFill="1" applyBorder="1"/>
    <xf numFmtId="166" fontId="5" fillId="0" borderId="12" xfId="2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/>
    <xf numFmtId="167" fontId="3" fillId="0" borderId="5" xfId="1" applyNumberFormat="1" applyFont="1" applyFill="1" applyBorder="1" applyAlignment="1">
      <alignment horizontal="center"/>
    </xf>
    <xf numFmtId="167" fontId="3" fillId="0" borderId="5" xfId="1" applyNumberFormat="1" applyFont="1" applyFill="1" applyBorder="1" applyAlignment="1">
      <alignment horizontal="right"/>
    </xf>
    <xf numFmtId="167" fontId="3" fillId="0" borderId="4" xfId="1" applyNumberFormat="1" applyFont="1" applyFill="1" applyBorder="1" applyAlignment="1">
      <alignment horizontal="right"/>
    </xf>
    <xf numFmtId="164" fontId="3" fillId="0" borderId="8" xfId="1" applyNumberFormat="1" applyFont="1" applyFill="1" applyBorder="1" applyAlignment="1">
      <alignment vertical="center"/>
    </xf>
    <xf numFmtId="167" fontId="3" fillId="0" borderId="5" xfId="1" applyNumberFormat="1" applyFont="1" applyFill="1" applyBorder="1"/>
    <xf numFmtId="164" fontId="5" fillId="0" borderId="8" xfId="1" applyNumberFormat="1" applyFont="1" applyFill="1" applyBorder="1"/>
    <xf numFmtId="167" fontId="3" fillId="0" borderId="5" xfId="1" applyNumberFormat="1" applyFont="1" applyBorder="1"/>
    <xf numFmtId="0" fontId="3" fillId="2" borderId="19" xfId="3" applyFont="1" applyFill="1" applyBorder="1"/>
    <xf numFmtId="167" fontId="10" fillId="0" borderId="20" xfId="1" applyNumberFormat="1" applyFont="1" applyFill="1" applyBorder="1"/>
    <xf numFmtId="167" fontId="3" fillId="0" borderId="21" xfId="1" applyNumberFormat="1" applyFont="1" applyFill="1" applyBorder="1"/>
    <xf numFmtId="166" fontId="5" fillId="0" borderId="22" xfId="2" applyNumberFormat="1" applyFont="1" applyFill="1" applyBorder="1" applyAlignment="1">
      <alignment horizontal="right"/>
    </xf>
    <xf numFmtId="0" fontId="10" fillId="2" borderId="22" xfId="0" applyFont="1" applyFill="1" applyBorder="1" applyAlignment="1">
      <alignment horizontal="left"/>
    </xf>
    <xf numFmtId="0" fontId="10" fillId="2" borderId="23" xfId="0" applyFont="1" applyFill="1" applyBorder="1" applyAlignment="1">
      <alignment horizontal="left"/>
    </xf>
    <xf numFmtId="0" fontId="3" fillId="2" borderId="2" xfId="3" applyFont="1" applyFill="1" applyBorder="1"/>
    <xf numFmtId="167" fontId="10" fillId="0" borderId="24" xfId="1" applyNumberFormat="1" applyFont="1" applyFill="1" applyBorder="1"/>
    <xf numFmtId="167" fontId="3" fillId="0" borderId="0" xfId="1" applyNumberFormat="1" applyFont="1" applyFill="1" applyBorder="1" applyAlignment="1"/>
    <xf numFmtId="164" fontId="3" fillId="0" borderId="3" xfId="1" applyNumberFormat="1" applyFont="1" applyFill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49" fontId="3" fillId="2" borderId="4" xfId="3" applyNumberFormat="1" applyFont="1" applyFill="1" applyBorder="1" applyAlignment="1">
      <alignment horizontal="left" vertical="center"/>
    </xf>
    <xf numFmtId="167" fontId="6" fillId="0" borderId="7" xfId="1" applyNumberFormat="1" applyFont="1" applyFill="1" applyBorder="1" applyAlignment="1">
      <alignment horizontal="right" vertical="center"/>
    </xf>
    <xf numFmtId="167" fontId="5" fillId="0" borderId="6" xfId="1" applyNumberFormat="1" applyFont="1" applyFill="1" applyBorder="1" applyAlignment="1">
      <alignment horizontal="right" vertical="center"/>
    </xf>
    <xf numFmtId="167" fontId="5" fillId="0" borderId="4" xfId="1" applyNumberFormat="1" applyFont="1" applyFill="1" applyBorder="1" applyAlignment="1">
      <alignment horizontal="right" vertical="center"/>
    </xf>
    <xf numFmtId="164" fontId="11" fillId="0" borderId="17" xfId="1" applyNumberFormat="1" applyFont="1" applyFill="1" applyBorder="1" applyAlignment="1">
      <alignment horizontal="left" vertical="center"/>
    </xf>
    <xf numFmtId="43" fontId="3" fillId="0" borderId="0" xfId="1" applyFont="1" applyFill="1" applyAlignment="1">
      <alignment horizontal="center"/>
    </xf>
    <xf numFmtId="0" fontId="6" fillId="3" borderId="6" xfId="3" applyFont="1" applyFill="1" applyBorder="1" applyAlignment="1">
      <alignment horizontal="left" vertical="center"/>
    </xf>
    <xf numFmtId="0" fontId="6" fillId="3" borderId="4" xfId="3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/>
    </xf>
    <xf numFmtId="164" fontId="10" fillId="0" borderId="11" xfId="1" applyNumberFormat="1" applyFont="1" applyFill="1" applyBorder="1"/>
    <xf numFmtId="167" fontId="3" fillId="0" borderId="10" xfId="1" applyNumberFormat="1" applyFont="1" applyFill="1" applyBorder="1"/>
    <xf numFmtId="167" fontId="3" fillId="0" borderId="1" xfId="1" applyNumberFormat="1" applyFont="1" applyBorder="1"/>
    <xf numFmtId="164" fontId="3" fillId="0" borderId="13" xfId="1" applyNumberFormat="1" applyFont="1" applyFill="1" applyBorder="1"/>
    <xf numFmtId="4" fontId="0" fillId="0" borderId="0" xfId="0" applyNumberFormat="1" applyAlignment="1">
      <alignment horizontal="left"/>
    </xf>
    <xf numFmtId="167" fontId="3" fillId="0" borderId="6" xfId="1" applyNumberFormat="1" applyFont="1" applyFill="1" applyBorder="1"/>
    <xf numFmtId="167" fontId="3" fillId="0" borderId="7" xfId="1" applyNumberFormat="1" applyFont="1" applyBorder="1"/>
    <xf numFmtId="164" fontId="3" fillId="0" borderId="8" xfId="1" applyNumberFormat="1" applyFont="1" applyFill="1" applyBorder="1"/>
    <xf numFmtId="164" fontId="3" fillId="0" borderId="7" xfId="1" applyNumberFormat="1" applyFont="1" applyFill="1" applyBorder="1"/>
    <xf numFmtId="164" fontId="5" fillId="0" borderId="7" xfId="1" applyNumberFormat="1" applyFont="1" applyFill="1" applyBorder="1"/>
    <xf numFmtId="0" fontId="10" fillId="2" borderId="0" xfId="0" applyFont="1" applyFill="1" applyAlignment="1">
      <alignment horizontal="left"/>
    </xf>
    <xf numFmtId="164" fontId="5" fillId="0" borderId="0" xfId="1" applyNumberFormat="1" applyFont="1" applyFill="1" applyBorder="1"/>
    <xf numFmtId="167" fontId="5" fillId="0" borderId="0" xfId="1" applyNumberFormat="1" applyFont="1" applyFill="1" applyBorder="1"/>
    <xf numFmtId="0" fontId="18" fillId="0" borderId="0" xfId="0" applyFont="1"/>
    <xf numFmtId="0" fontId="19" fillId="0" borderId="0" xfId="0" applyFont="1"/>
  </cellXfs>
  <cellStyles count="6">
    <cellStyle name="Normal" xfId="0" builtinId="0"/>
    <cellStyle name="Normal 2" xfId="3" xr:uid="{96597920-A147-4233-AA97-8C4E43044B5C}"/>
    <cellStyle name="Normal 2 2" xfId="5" xr:uid="{666D9218-BC25-4C94-AE73-C449A3D74240}"/>
    <cellStyle name="Porcentagem" xfId="2" builtinId="5"/>
    <cellStyle name="Vírgula" xfId="1" builtinId="3"/>
    <cellStyle name="Vírgula 10" xfId="4" xr:uid="{FC57ABBB-1E2F-48AC-8751-39AAB2A753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19051</xdr:rowOff>
    </xdr:from>
    <xdr:to>
      <xdr:col>2</xdr:col>
      <xdr:colOff>2238376</xdr:colOff>
      <xdr:row>4</xdr:row>
      <xdr:rowOff>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B358DE-5483-4CD1-B575-279D4389A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19051"/>
          <a:ext cx="3000374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Contrato%20de%20Gest&#227;o%20PT%202020/Saldo,%20Forecast,%20Mapa%20de%20Capta&#231;&#227;o%20e%20Cash%20Flow/Previsto%20x%20Real/Previsto%20x%20Real%202020_Depara%20vs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90.3\contabilidade\Ativos\Lawson\Contabil\2009\Relat&#243;rios\Centro%20de%20cus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ELSO.COMPAIR\Configura&#231;&#245;es%20locais\Temporary%20Internet%20Files\Content.IE5\37XBN1WS\Calculo_varia&#231;&#227;o_cambial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IMIS_04_0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PUBLICO\Documents%20and%20Settings\CELSO.COMPAIR\Configura&#231;&#245;es%20locais\Temporary%20Internet%20Files\Content.IE5\RF5WHBA7\BANKRE~1%20COMPAIR%20DO%20BRAS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000%20JWR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MIS04%20PRP%20Profor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AS%20Reporting\IntraNet\InteractiveTemplates\5431%20MR03%20BSh%20Explosion%20by%20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toxReal CG"/>
      <sheetName val="Plan2"/>
      <sheetName val="MODELO EM EXECUÇÃO"/>
      <sheetName val="Resultado-CG"/>
      <sheetName val="MESCG2020"/>
      <sheetName val="PrevistoxReal MRSP"/>
      <sheetName val="Resultado-MRSP"/>
      <sheetName val="MESMRSP2020"/>
      <sheetName val="PrevistoxReal PRONAC"/>
      <sheetName val="Resultado-PRONAC"/>
      <sheetName val="MESPRONAC2019"/>
      <sheetName val="Tabela Geren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oContas"/>
      <sheetName val="CentroCusto"/>
      <sheetName val="PlanoContasReais"/>
      <sheetName val="PlanoContasEuro"/>
      <sheetName val="CentroCustoReais"/>
      <sheetName val="CentroCustoEuro"/>
      <sheetName val="Capa"/>
      <sheetName val="Assets"/>
      <sheetName val="Liabilities"/>
      <sheetName val="SI"/>
      <sheetName val="11111 R$"/>
      <sheetName val="38396 R$"/>
      <sheetName val="89510 R$"/>
      <sheetName val="91820 R$"/>
      <sheetName val="91860 R$"/>
      <sheetName val="R$ TOTAL"/>
      <sheetName val="11111 US$"/>
      <sheetName val="38396 US$"/>
      <sheetName val="89510 US$"/>
      <sheetName val="91820 US$"/>
      <sheetName val="91860 US$"/>
      <sheetName val="US$ TOTAL"/>
      <sheetName val="DMPL"/>
      <sheetName val="DFC"/>
      <sheetName val="CTA"/>
      <sheetName val="personnel - 2"/>
      <sheetName val="Provisões"/>
      <sheetName val="LOANS"/>
      <sheetName val="DOAR"/>
      <sheetName val="Empréstimo"/>
      <sheetName val="Imobilizado"/>
      <sheetName val="CTA D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2">
          <cell r="Q72">
            <v>-4264.49</v>
          </cell>
        </row>
      </sheetData>
      <sheetData sheetId="17"/>
      <sheetData sheetId="18"/>
      <sheetData sheetId="19"/>
      <sheetData sheetId="20"/>
      <sheetData sheetId="21"/>
      <sheetData sheetId="22">
        <row r="72">
          <cell r="Q72">
            <v>-1989.99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>
            <v>1108437.8999999999</v>
          </cell>
        </row>
        <row r="6">
          <cell r="C6">
            <v>143516.78</v>
          </cell>
        </row>
        <row r="8">
          <cell r="F8">
            <v>-1197207.1399999999</v>
          </cell>
        </row>
        <row r="12">
          <cell r="C12">
            <v>499970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BERTO"/>
      <sheetName val="PAGAS"/>
      <sheetName val="camila"/>
      <sheetName val="03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over"/>
      <sheetName val="Contents"/>
      <sheetName val="PR_01"/>
      <sheetName val="PR_02"/>
      <sheetName val="PR_03"/>
      <sheetName val="PR_04"/>
      <sheetName val="PR_06"/>
      <sheetName val="PR_07"/>
      <sheetName val="PR_09"/>
      <sheetName val="PR_10"/>
      <sheetName val="PR_11"/>
      <sheetName val="PR_12"/>
      <sheetName val="PR_13"/>
      <sheetName val="PR_14"/>
      <sheetName val="PR_15"/>
      <sheetName val="PR_16"/>
      <sheetName val="PR_17"/>
      <sheetName val="INP_01"/>
      <sheetName val="INP_02"/>
      <sheetName val="INP_03"/>
      <sheetName val="INP_04"/>
      <sheetName val="INP_05"/>
      <sheetName val="INP_06"/>
      <sheetName val="INP_07"/>
      <sheetName val="INP_08"/>
      <sheetName val="INP_09"/>
      <sheetName val="INP_10"/>
      <sheetName val="INP_11"/>
      <sheetName val="INP_12"/>
      <sheetName val="INP_13"/>
      <sheetName val="INP_14"/>
      <sheetName val="INP_15"/>
      <sheetName val="INP_16"/>
      <sheetName val="INP_17"/>
      <sheetName val="INP_18"/>
      <sheetName val="INP_19"/>
      <sheetName val="INP_20"/>
      <sheetName val="INP_21"/>
      <sheetName val="INP_22"/>
      <sheetName val="INP_23"/>
      <sheetName val="INP_24"/>
      <sheetName val="INP_25"/>
      <sheetName val="INP_26"/>
      <sheetName val="INP_27"/>
      <sheetName val="INP_28"/>
      <sheetName val="INP_29"/>
      <sheetName val="INP_30"/>
      <sheetName val="INP_31"/>
      <sheetName val="INP_32"/>
      <sheetName val="INP_33"/>
      <sheetName val="INP_34"/>
      <sheetName val="INP_35"/>
      <sheetName val="INP_36"/>
      <sheetName val="INP_37"/>
      <sheetName val="INP_38"/>
      <sheetName val="INP_39"/>
      <sheetName val="INP_40"/>
      <sheetName val="INP_41"/>
      <sheetName val="INP_42"/>
      <sheetName val="INP_43"/>
      <sheetName val="INP_44"/>
      <sheetName val="Graphs"/>
      <sheetName val="Graphs_Input"/>
      <sheetName val="Exhaust"/>
      <sheetName val="dlg_mc_mes_box"/>
      <sheetName val="dlg_select"/>
      <sheetName val="dlg_imip_select"/>
      <sheetName val="Graph Details"/>
      <sheetName val="dlg_category"/>
      <sheetName val="Validations"/>
      <sheetName val="Extract"/>
      <sheetName val="Details"/>
      <sheetName val="Dlg_draft"/>
      <sheetName val="Dlg_Front"/>
      <sheetName val="Dlg_about_PRP"/>
      <sheetName val="dlg_company_details"/>
      <sheetName val="dlg_paper_typ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>
        <row r="2">
          <cell r="B2" t="str">
            <v>2000/2001 Invensys Management Information System</v>
          </cell>
        </row>
        <row r="6">
          <cell r="B6" t="str">
            <v>Division 1</v>
          </cell>
        </row>
        <row r="7">
          <cell r="B7" t="str">
            <v>Product Group 1 with long name</v>
          </cell>
        </row>
        <row r="8">
          <cell r="B8" t="str">
            <v>Spreadsheet Test Company</v>
          </cell>
        </row>
        <row r="9">
          <cell r="B9" t="str">
            <v>0000</v>
          </cell>
        </row>
        <row r="11">
          <cell r="B11" t="str">
            <v>USD</v>
          </cell>
        </row>
        <row r="12">
          <cell r="B12" t="str">
            <v>000</v>
          </cell>
        </row>
        <row r="18">
          <cell r="B18">
            <v>4</v>
          </cell>
        </row>
        <row r="53">
          <cell r="E53">
            <v>4</v>
          </cell>
          <cell r="G53" t="str">
            <v>2000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"/>
      <sheetName val="Reconciliation"/>
      <sheetName val="Extract"/>
    </sheetNames>
    <sheetDataSet>
      <sheetData sheetId="0">
        <row r="3">
          <cell r="A3">
            <v>1</v>
          </cell>
          <cell r="B3" t="str">
            <v>Select code</v>
          </cell>
          <cell r="C3" t="str">
            <v>Currency name will appear here</v>
          </cell>
        </row>
        <row r="4">
          <cell r="A4">
            <v>2</v>
          </cell>
          <cell r="B4" t="str">
            <v>AED</v>
          </cell>
          <cell r="C4" t="str">
            <v>U A E Dirham</v>
          </cell>
        </row>
        <row r="5">
          <cell r="A5">
            <v>3</v>
          </cell>
          <cell r="B5" t="str">
            <v>ARS</v>
          </cell>
          <cell r="C5" t="str">
            <v>Argentinian Peso</v>
          </cell>
        </row>
        <row r="6">
          <cell r="A6">
            <v>4</v>
          </cell>
          <cell r="B6" t="str">
            <v>ATS</v>
          </cell>
          <cell r="C6" t="str">
            <v>Austrian Schillings</v>
          </cell>
        </row>
        <row r="7">
          <cell r="A7">
            <v>5</v>
          </cell>
          <cell r="B7" t="str">
            <v>AUD</v>
          </cell>
          <cell r="C7" t="str">
            <v>Australian Dollar</v>
          </cell>
        </row>
        <row r="8">
          <cell r="A8">
            <v>6</v>
          </cell>
          <cell r="B8" t="str">
            <v>BDT</v>
          </cell>
          <cell r="C8" t="str">
            <v>Bangladeshi Taka</v>
          </cell>
        </row>
        <row r="9">
          <cell r="A9">
            <v>7</v>
          </cell>
          <cell r="B9" t="str">
            <v>BEF</v>
          </cell>
          <cell r="C9" t="str">
            <v>Belgian Franc</v>
          </cell>
        </row>
        <row r="10">
          <cell r="A10">
            <v>8</v>
          </cell>
          <cell r="B10" t="str">
            <v>BGL</v>
          </cell>
          <cell r="C10" t="str">
            <v>Bulgarian Lev</v>
          </cell>
        </row>
        <row r="11">
          <cell r="A11">
            <v>9</v>
          </cell>
          <cell r="B11" t="str">
            <v>BHD</v>
          </cell>
          <cell r="C11" t="str">
            <v>Bahrainian Dinar</v>
          </cell>
        </row>
        <row r="12">
          <cell r="A12">
            <v>10</v>
          </cell>
          <cell r="B12" t="str">
            <v>BRL</v>
          </cell>
          <cell r="C12" t="str">
            <v>Brazilian Real</v>
          </cell>
        </row>
        <row r="13">
          <cell r="A13">
            <v>11</v>
          </cell>
          <cell r="B13" t="str">
            <v>CAD</v>
          </cell>
          <cell r="C13" t="str">
            <v>Canadian Dollar</v>
          </cell>
        </row>
        <row r="14">
          <cell r="A14">
            <v>12</v>
          </cell>
          <cell r="B14" t="str">
            <v>CHF</v>
          </cell>
          <cell r="C14" t="str">
            <v>Swiss Franc</v>
          </cell>
        </row>
        <row r="15">
          <cell r="A15">
            <v>13</v>
          </cell>
          <cell r="B15" t="str">
            <v>CLP</v>
          </cell>
          <cell r="C15" t="str">
            <v>Chilean Peso</v>
          </cell>
        </row>
        <row r="16">
          <cell r="A16">
            <v>14</v>
          </cell>
          <cell r="B16" t="str">
            <v>CNY</v>
          </cell>
          <cell r="C16" t="str">
            <v>China Yuan</v>
          </cell>
        </row>
        <row r="17">
          <cell r="A17">
            <v>15</v>
          </cell>
          <cell r="B17" t="str">
            <v>COP</v>
          </cell>
          <cell r="C17" t="str">
            <v>Colombian Peso</v>
          </cell>
        </row>
        <row r="18">
          <cell r="A18">
            <v>16</v>
          </cell>
          <cell r="B18" t="str">
            <v>CZK</v>
          </cell>
          <cell r="C18" t="str">
            <v>Czech Koruna</v>
          </cell>
        </row>
        <row r="19">
          <cell r="A19">
            <v>17</v>
          </cell>
          <cell r="B19" t="str">
            <v>DEM</v>
          </cell>
          <cell r="C19" t="str">
            <v>German Deutchmark</v>
          </cell>
        </row>
        <row r="20">
          <cell r="A20">
            <v>18</v>
          </cell>
          <cell r="B20" t="str">
            <v>DKK</v>
          </cell>
          <cell r="C20" t="str">
            <v>Danish Kroner</v>
          </cell>
        </row>
        <row r="21">
          <cell r="A21">
            <v>19</v>
          </cell>
          <cell r="B21" t="str">
            <v>ESP</v>
          </cell>
          <cell r="C21" t="str">
            <v>Spanish Peseta</v>
          </cell>
        </row>
        <row r="22">
          <cell r="A22">
            <v>20</v>
          </cell>
          <cell r="B22" t="str">
            <v>EUR</v>
          </cell>
          <cell r="C22" t="str">
            <v>European Euro</v>
          </cell>
        </row>
        <row r="23">
          <cell r="A23">
            <v>21</v>
          </cell>
          <cell r="B23" t="str">
            <v>FIM</v>
          </cell>
          <cell r="C23" t="str">
            <v>Finish Markka</v>
          </cell>
        </row>
        <row r="24">
          <cell r="A24">
            <v>22</v>
          </cell>
          <cell r="B24" t="str">
            <v>FRF</v>
          </cell>
          <cell r="C24" t="str">
            <v>French Franc</v>
          </cell>
        </row>
        <row r="25">
          <cell r="A25">
            <v>23</v>
          </cell>
          <cell r="B25" t="str">
            <v>GBP</v>
          </cell>
          <cell r="C25" t="str">
            <v>GB Pound</v>
          </cell>
        </row>
        <row r="26">
          <cell r="A26">
            <v>24</v>
          </cell>
          <cell r="B26" t="str">
            <v>GHC</v>
          </cell>
          <cell r="C26" t="str">
            <v>Ghanian Cedi</v>
          </cell>
        </row>
        <row r="27">
          <cell r="A27">
            <v>25</v>
          </cell>
          <cell r="B27" t="str">
            <v>GRD</v>
          </cell>
          <cell r="C27" t="str">
            <v>Greek Drachma</v>
          </cell>
        </row>
        <row r="28">
          <cell r="A28">
            <v>26</v>
          </cell>
          <cell r="B28" t="str">
            <v>HKD</v>
          </cell>
          <cell r="C28" t="str">
            <v>Hong Kong Dollar</v>
          </cell>
        </row>
        <row r="29">
          <cell r="A29">
            <v>27</v>
          </cell>
          <cell r="B29" t="str">
            <v>HUF</v>
          </cell>
          <cell r="C29" t="str">
            <v>Hungarian Forint</v>
          </cell>
        </row>
        <row r="30">
          <cell r="A30">
            <v>28</v>
          </cell>
          <cell r="B30" t="str">
            <v>IDR</v>
          </cell>
          <cell r="C30" t="str">
            <v>Indonesian Rupiah</v>
          </cell>
        </row>
        <row r="31">
          <cell r="A31">
            <v>29</v>
          </cell>
          <cell r="B31" t="str">
            <v>IEP</v>
          </cell>
          <cell r="C31" t="str">
            <v>Irish Punt</v>
          </cell>
        </row>
        <row r="32">
          <cell r="A32">
            <v>30</v>
          </cell>
          <cell r="B32" t="str">
            <v>ILS</v>
          </cell>
          <cell r="C32" t="str">
            <v>Israeli Shekel</v>
          </cell>
        </row>
        <row r="33">
          <cell r="A33">
            <v>31</v>
          </cell>
          <cell r="B33" t="str">
            <v>INR</v>
          </cell>
          <cell r="C33" t="str">
            <v>Indian Rupee</v>
          </cell>
        </row>
        <row r="34">
          <cell r="A34">
            <v>32</v>
          </cell>
          <cell r="B34" t="str">
            <v>ITL</v>
          </cell>
          <cell r="C34" t="str">
            <v>Italian Lira</v>
          </cell>
        </row>
        <row r="35">
          <cell r="A35">
            <v>33</v>
          </cell>
          <cell r="B35" t="str">
            <v>JPY</v>
          </cell>
          <cell r="C35" t="str">
            <v>Japanese Yen</v>
          </cell>
        </row>
        <row r="36">
          <cell r="A36">
            <v>34</v>
          </cell>
          <cell r="B36" t="str">
            <v>KES</v>
          </cell>
          <cell r="C36" t="str">
            <v>Kenyan Pound</v>
          </cell>
        </row>
        <row r="37">
          <cell r="A37">
            <v>35</v>
          </cell>
          <cell r="B37" t="str">
            <v>KRW</v>
          </cell>
          <cell r="C37" t="str">
            <v>South Korean Won</v>
          </cell>
        </row>
        <row r="38">
          <cell r="A38">
            <v>36</v>
          </cell>
          <cell r="B38" t="str">
            <v>KWD</v>
          </cell>
          <cell r="C38" t="str">
            <v>Kuwaiti Dinar</v>
          </cell>
        </row>
        <row r="39">
          <cell r="A39">
            <v>37</v>
          </cell>
          <cell r="B39" t="str">
            <v>LUF</v>
          </cell>
          <cell r="C39" t="str">
            <v>Luxembourg Franc</v>
          </cell>
        </row>
        <row r="40">
          <cell r="A40">
            <v>38</v>
          </cell>
          <cell r="B40" t="str">
            <v>MAD</v>
          </cell>
          <cell r="C40" t="str">
            <v>Morocco Dirham</v>
          </cell>
        </row>
        <row r="41">
          <cell r="A41">
            <v>39</v>
          </cell>
          <cell r="B41" t="str">
            <v>MTL</v>
          </cell>
          <cell r="C41" t="str">
            <v>Maltese Lira</v>
          </cell>
        </row>
        <row r="42">
          <cell r="A42">
            <v>40</v>
          </cell>
          <cell r="B42" t="str">
            <v>MXN</v>
          </cell>
          <cell r="C42" t="str">
            <v>Mexican Peso</v>
          </cell>
        </row>
        <row r="43">
          <cell r="A43">
            <v>41</v>
          </cell>
          <cell r="B43" t="str">
            <v>MYR</v>
          </cell>
          <cell r="C43" t="str">
            <v>Malaysian Ringgit</v>
          </cell>
        </row>
        <row r="44">
          <cell r="A44">
            <v>42</v>
          </cell>
          <cell r="B44" t="str">
            <v>NGN</v>
          </cell>
          <cell r="C44" t="str">
            <v>Nigerian Niara</v>
          </cell>
        </row>
        <row r="45">
          <cell r="A45">
            <v>43</v>
          </cell>
          <cell r="B45" t="str">
            <v>NLG</v>
          </cell>
          <cell r="C45" t="str">
            <v>Dutch Guilder</v>
          </cell>
        </row>
        <row r="46">
          <cell r="A46">
            <v>44</v>
          </cell>
          <cell r="B46" t="str">
            <v>NOK</v>
          </cell>
          <cell r="C46" t="str">
            <v>Norwegian Kroner</v>
          </cell>
        </row>
        <row r="47">
          <cell r="A47">
            <v>45</v>
          </cell>
          <cell r="B47" t="str">
            <v>NZD</v>
          </cell>
          <cell r="C47" t="str">
            <v>New Zealand Dollar</v>
          </cell>
        </row>
        <row r="48">
          <cell r="A48">
            <v>46</v>
          </cell>
          <cell r="B48" t="str">
            <v>OMR</v>
          </cell>
          <cell r="C48" t="str">
            <v>Omani Rial</v>
          </cell>
        </row>
        <row r="49">
          <cell r="A49">
            <v>47</v>
          </cell>
          <cell r="B49" t="str">
            <v>PGK</v>
          </cell>
          <cell r="C49" t="str">
            <v>Papua New Guinen Kina</v>
          </cell>
        </row>
        <row r="50">
          <cell r="A50">
            <v>48</v>
          </cell>
          <cell r="B50" t="str">
            <v>PHP</v>
          </cell>
          <cell r="C50" t="str">
            <v>Philippines Peso</v>
          </cell>
        </row>
        <row r="51">
          <cell r="A51">
            <v>49</v>
          </cell>
          <cell r="B51" t="str">
            <v>PKR</v>
          </cell>
          <cell r="C51" t="str">
            <v>Pakistani Rupee</v>
          </cell>
        </row>
        <row r="52">
          <cell r="A52">
            <v>50</v>
          </cell>
          <cell r="B52" t="str">
            <v>PLN</v>
          </cell>
          <cell r="C52" t="str">
            <v>Polish Zloty</v>
          </cell>
        </row>
        <row r="53">
          <cell r="A53">
            <v>51</v>
          </cell>
          <cell r="B53" t="str">
            <v>PTE</v>
          </cell>
          <cell r="C53" t="str">
            <v>Portuguese Escudo</v>
          </cell>
        </row>
        <row r="54">
          <cell r="A54">
            <v>52</v>
          </cell>
          <cell r="B54" t="str">
            <v>RUR</v>
          </cell>
          <cell r="C54" t="str">
            <v>Russian Rouble</v>
          </cell>
        </row>
        <row r="55">
          <cell r="A55">
            <v>53</v>
          </cell>
          <cell r="B55" t="str">
            <v>SAR</v>
          </cell>
          <cell r="C55" t="str">
            <v>Saudi Arabian Riyal</v>
          </cell>
        </row>
        <row r="56">
          <cell r="A56">
            <v>54</v>
          </cell>
          <cell r="B56" t="str">
            <v>SEK</v>
          </cell>
          <cell r="C56" t="str">
            <v>Swedish Krona</v>
          </cell>
        </row>
        <row r="57">
          <cell r="A57">
            <v>55</v>
          </cell>
          <cell r="B57" t="str">
            <v>SGD</v>
          </cell>
          <cell r="C57" t="str">
            <v>Singapore Dollar</v>
          </cell>
        </row>
        <row r="58">
          <cell r="A58">
            <v>56</v>
          </cell>
          <cell r="B58" t="str">
            <v>SKK</v>
          </cell>
          <cell r="C58" t="str">
            <v>Slovak Koruna</v>
          </cell>
        </row>
        <row r="59">
          <cell r="A59">
            <v>57</v>
          </cell>
          <cell r="B59" t="str">
            <v>THB</v>
          </cell>
          <cell r="C59" t="str">
            <v>Thai Baht</v>
          </cell>
        </row>
        <row r="60">
          <cell r="A60">
            <v>58</v>
          </cell>
          <cell r="B60" t="str">
            <v>TND</v>
          </cell>
          <cell r="C60" t="str">
            <v>Tunisian Dinar</v>
          </cell>
        </row>
        <row r="61">
          <cell r="A61">
            <v>59</v>
          </cell>
          <cell r="B61" t="str">
            <v>TRL</v>
          </cell>
          <cell r="C61" t="str">
            <v>Turkish Lira</v>
          </cell>
        </row>
        <row r="62">
          <cell r="A62">
            <v>60</v>
          </cell>
          <cell r="B62" t="str">
            <v>TWD</v>
          </cell>
          <cell r="C62" t="str">
            <v>Taiwanese Dollar</v>
          </cell>
        </row>
        <row r="63">
          <cell r="A63">
            <v>61</v>
          </cell>
          <cell r="B63" t="str">
            <v>TZS</v>
          </cell>
          <cell r="C63" t="str">
            <v>Tanzanian Shilling</v>
          </cell>
        </row>
        <row r="64">
          <cell r="A64">
            <v>62</v>
          </cell>
          <cell r="B64" t="str">
            <v>USD</v>
          </cell>
          <cell r="C64" t="str">
            <v>USA Dollar</v>
          </cell>
        </row>
        <row r="65">
          <cell r="A65">
            <v>63</v>
          </cell>
          <cell r="B65" t="str">
            <v>VEB</v>
          </cell>
          <cell r="C65" t="str">
            <v>Venezuelian Bolivar</v>
          </cell>
        </row>
        <row r="66">
          <cell r="A66">
            <v>64</v>
          </cell>
          <cell r="B66" t="str">
            <v>XEU</v>
          </cell>
          <cell r="C66" t="str">
            <v>European Currency Unit</v>
          </cell>
        </row>
        <row r="67">
          <cell r="A67">
            <v>65</v>
          </cell>
          <cell r="B67" t="str">
            <v>ZAR</v>
          </cell>
          <cell r="C67" t="str">
            <v>South African Rand</v>
          </cell>
        </row>
        <row r="68">
          <cell r="A68">
            <v>66</v>
          </cell>
          <cell r="B68" t="str">
            <v>ZMK</v>
          </cell>
          <cell r="C68" t="str">
            <v>Zambian Kwacha</v>
          </cell>
        </row>
        <row r="69">
          <cell r="A69">
            <v>67</v>
          </cell>
          <cell r="B69" t="str">
            <v>ZWD</v>
          </cell>
          <cell r="C69" t="str">
            <v>Zimbabwe Dollar</v>
          </cell>
        </row>
        <row r="71">
          <cell r="C71">
            <v>10</v>
          </cell>
        </row>
      </sheetData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WR 3 Ext"/>
      <sheetName val="JWR 5 Ext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mpany Details"/>
      <sheetName val="Contents"/>
      <sheetName val="PR_01"/>
      <sheetName val="PR_01a"/>
      <sheetName val="PR_02"/>
      <sheetName val="PR_03"/>
      <sheetName val="PR_04"/>
      <sheetName val="PR_04a"/>
      <sheetName val="PR_05a"/>
      <sheetName val="PR_05b"/>
      <sheetName val="PR_06a"/>
      <sheetName val="PR_06b"/>
      <sheetName val="PR_06c"/>
      <sheetName val="PR_07"/>
      <sheetName val="PR_07a"/>
      <sheetName val="PR_08"/>
      <sheetName val="PR_08a"/>
      <sheetName val="PR_09"/>
      <sheetName val="PR_09a"/>
      <sheetName val="PR_09b"/>
      <sheetName val="PR_10"/>
      <sheetName val="PR_10a"/>
      <sheetName val="PR_11a"/>
      <sheetName val="PR_11b"/>
      <sheetName val="PR_11c"/>
      <sheetName val="PR_12"/>
      <sheetName val="PR_12a"/>
      <sheetName val="PR_13"/>
      <sheetName val="PR_13a"/>
      <sheetName val="PR_14"/>
      <sheetName val="PR_14a"/>
      <sheetName val="PR_15"/>
      <sheetName val="PR_15a"/>
      <sheetName val="PR_16"/>
      <sheetName val="PR_16a"/>
      <sheetName val="PR_16b"/>
      <sheetName val="data"/>
      <sheetName val="PR_17"/>
      <sheetName val="PR_17a"/>
      <sheetName val="PR_18"/>
      <sheetName val="PR_19"/>
      <sheetName val="SR_12"/>
      <sheetName val="INP_01"/>
      <sheetName val="INP_02"/>
      <sheetName val="INP_03"/>
      <sheetName val="INP_04"/>
      <sheetName val="INP_05"/>
      <sheetName val="INP_06"/>
      <sheetName val="INP_07"/>
      <sheetName val="Val_01"/>
      <sheetName val="DSO_DPO"/>
      <sheetName val="Graph Detail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"/>
      <sheetName val="PRP pack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55224-F418-4026-8C26-60F3F578E4AD}">
  <sheetPr>
    <tabColor theme="4" tint="-0.249977111117893"/>
  </sheetPr>
  <dimension ref="A1:O234"/>
  <sheetViews>
    <sheetView showGridLines="0" tabSelected="1" view="pageBreakPreview" zoomScaleNormal="100" zoomScaleSheetLayoutView="100" zoomScalePageLayoutView="72" workbookViewId="0">
      <selection activeCell="A223" sqref="A223"/>
    </sheetView>
  </sheetViews>
  <sheetFormatPr defaultColWidth="9.140625" defaultRowHeight="12.75" x14ac:dyDescent="0.2"/>
  <cols>
    <col min="1" max="1" width="6" style="1" customWidth="1"/>
    <col min="2" max="2" width="5.7109375" style="1" customWidth="1"/>
    <col min="3" max="3" width="52.85546875" style="1" customWidth="1"/>
    <col min="4" max="4" width="13.28515625" style="2" customWidth="1"/>
    <col min="5" max="5" width="15" style="2" customWidth="1"/>
    <col min="6" max="6" width="15.42578125" style="2" customWidth="1"/>
    <col min="7" max="7" width="14.140625" style="3" customWidth="1"/>
    <col min="8" max="8" width="13" style="3" customWidth="1"/>
    <col min="9" max="9" width="13.140625" style="3" customWidth="1"/>
    <col min="10" max="10" width="13.5703125" style="4" customWidth="1"/>
    <col min="11" max="11" width="47.7109375" style="4" customWidth="1"/>
    <col min="12" max="12" width="9.140625" style="5"/>
    <col min="13" max="14" width="9.5703125" style="5" bestFit="1" customWidth="1"/>
    <col min="15" max="16384" width="9.140625" style="5"/>
  </cols>
  <sheetData>
    <row r="1" spans="1:11" ht="12" customHeight="1" x14ac:dyDescent="0.2"/>
    <row r="2" spans="1:11" ht="12" customHeight="1" x14ac:dyDescent="0.2"/>
    <row r="3" spans="1:11" ht="12" customHeight="1" x14ac:dyDescent="0.2"/>
    <row r="4" spans="1:11" ht="12" customHeight="1" x14ac:dyDescent="0.2"/>
    <row r="5" spans="1:11" ht="15" customHeight="1" x14ac:dyDescent="0.2">
      <c r="A5" s="6" t="s">
        <v>0</v>
      </c>
      <c r="D5" s="7" t="s">
        <v>1</v>
      </c>
      <c r="E5" s="8"/>
      <c r="F5" s="9" t="s">
        <v>2</v>
      </c>
      <c r="G5" s="10" t="s">
        <v>3</v>
      </c>
      <c r="I5" s="9"/>
      <c r="J5" s="9"/>
      <c r="K5" s="11"/>
    </row>
    <row r="6" spans="1:11" ht="2.1" customHeight="1" x14ac:dyDescent="0.2">
      <c r="A6" s="6"/>
      <c r="D6" s="12"/>
      <c r="E6" s="13"/>
      <c r="F6" s="3"/>
      <c r="G6" s="14"/>
      <c r="K6" s="15"/>
    </row>
    <row r="7" spans="1:11" ht="15" customHeight="1" x14ac:dyDescent="0.2">
      <c r="A7" s="16" t="s">
        <v>4</v>
      </c>
      <c r="B7" s="17"/>
      <c r="C7" s="18"/>
      <c r="D7" s="19"/>
      <c r="F7" s="9" t="s">
        <v>5</v>
      </c>
      <c r="G7" s="20" t="s">
        <v>6</v>
      </c>
      <c r="H7" s="21"/>
      <c r="I7" s="22"/>
      <c r="J7" s="23"/>
      <c r="K7" s="11"/>
    </row>
    <row r="8" spans="1:11" ht="2.1" customHeight="1" x14ac:dyDescent="0.2">
      <c r="A8" s="9"/>
      <c r="D8" s="19"/>
    </row>
    <row r="9" spans="1:11" ht="15" customHeight="1" x14ac:dyDescent="0.2">
      <c r="A9" s="9" t="s">
        <v>7</v>
      </c>
      <c r="D9" s="24" t="s">
        <v>8</v>
      </c>
      <c r="E9" s="25"/>
      <c r="F9" s="25"/>
    </row>
    <row r="10" spans="1:11" ht="5.0999999999999996" customHeight="1" x14ac:dyDescent="0.2"/>
    <row r="11" spans="1:11" s="28" customFormat="1" ht="20.100000000000001" customHeight="1" x14ac:dyDescent="0.25">
      <c r="A11" s="26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7"/>
    </row>
    <row r="12" spans="1:11" s="28" customFormat="1" ht="15" customHeight="1" x14ac:dyDescent="0.25">
      <c r="A12" s="29"/>
      <c r="B12" s="29"/>
      <c r="C12" s="29"/>
      <c r="D12" s="30"/>
      <c r="E12" s="30"/>
      <c r="F12" s="30"/>
      <c r="G12" s="31"/>
      <c r="H12" s="31"/>
      <c r="I12" s="31"/>
      <c r="J12" s="29"/>
      <c r="K12" s="29"/>
    </row>
    <row r="13" spans="1:11" ht="13.5" customHeight="1" x14ac:dyDescent="0.2">
      <c r="A13" s="32" t="s">
        <v>10</v>
      </c>
      <c r="D13" s="33"/>
      <c r="E13" s="33"/>
      <c r="F13" s="33"/>
    </row>
    <row r="14" spans="1:11" ht="15" customHeight="1" x14ac:dyDescent="0.2">
      <c r="A14" s="32"/>
      <c r="D14" s="33"/>
      <c r="E14" s="33"/>
      <c r="F14" s="33"/>
    </row>
    <row r="15" spans="1:11" s="43" customFormat="1" ht="27" customHeight="1" x14ac:dyDescent="0.2">
      <c r="A15" s="1"/>
      <c r="B15" s="34" t="s">
        <v>11</v>
      </c>
      <c r="C15" s="35"/>
      <c r="D15" s="36" t="s">
        <v>12</v>
      </c>
      <c r="E15" s="37" t="s">
        <v>13</v>
      </c>
      <c r="F15" s="38" t="s">
        <v>14</v>
      </c>
      <c r="G15" s="39" t="s">
        <v>15</v>
      </c>
      <c r="H15" s="40" t="s">
        <v>16</v>
      </c>
      <c r="I15" s="41" t="s">
        <v>17</v>
      </c>
      <c r="J15" s="42" t="s">
        <v>18</v>
      </c>
    </row>
    <row r="16" spans="1:11" s="52" customFormat="1" ht="15" customHeight="1" x14ac:dyDescent="0.25">
      <c r="A16" s="44">
        <v>1</v>
      </c>
      <c r="B16" s="45" t="s">
        <v>19</v>
      </c>
      <c r="C16" s="46"/>
      <c r="D16" s="47"/>
      <c r="E16" s="48"/>
      <c r="F16" s="49"/>
      <c r="G16" s="49"/>
      <c r="H16" s="49"/>
      <c r="I16" s="50"/>
      <c r="J16" s="51"/>
    </row>
    <row r="17" spans="1:12" s="52" customFormat="1" ht="15" customHeight="1" x14ac:dyDescent="0.25">
      <c r="A17" s="53" t="s">
        <v>20</v>
      </c>
      <c r="B17" s="54"/>
      <c r="C17" s="55" t="s">
        <v>21</v>
      </c>
      <c r="D17" s="56">
        <f>SUM(D18:D18)</f>
        <v>18758801</v>
      </c>
      <c r="E17" s="57">
        <f>E18</f>
        <v>5546978</v>
      </c>
      <c r="F17" s="58">
        <f>F18</f>
        <v>3400000</v>
      </c>
      <c r="G17" s="58">
        <f>G18</f>
        <v>3861823</v>
      </c>
      <c r="H17" s="59">
        <f>SUM(H18:H18)</f>
        <v>5950000</v>
      </c>
      <c r="I17" s="60">
        <f>SUM(E17:H17)</f>
        <v>18758801</v>
      </c>
      <c r="J17" s="61">
        <f>I17/D17*100</f>
        <v>100</v>
      </c>
      <c r="K17" s="52">
        <v>3326353.92</v>
      </c>
      <c r="L17" s="52" t="s">
        <v>22</v>
      </c>
    </row>
    <row r="18" spans="1:12" s="52" customFormat="1" ht="15" customHeight="1" x14ac:dyDescent="0.25">
      <c r="A18" s="53" t="s">
        <v>23</v>
      </c>
      <c r="B18" s="54"/>
      <c r="C18" s="62" t="s">
        <v>24</v>
      </c>
      <c r="D18" s="63">
        <f>19048801-290000</f>
        <v>18758801</v>
      </c>
      <c r="E18" s="64">
        <f>5686978-140000</f>
        <v>5546978</v>
      </c>
      <c r="F18" s="65">
        <v>3400000</v>
      </c>
      <c r="G18" s="65">
        <v>3861823</v>
      </c>
      <c r="H18" s="66">
        <f>6100000-150000</f>
        <v>5950000</v>
      </c>
      <c r="I18" s="60">
        <f t="shared" ref="I18" si="0">SUM(E18:H18)</f>
        <v>18758801</v>
      </c>
      <c r="J18" s="61">
        <f t="shared" ref="J18" si="1">I18/D18*100</f>
        <v>100</v>
      </c>
    </row>
    <row r="19" spans="1:12" s="52" customFormat="1" ht="15" customHeight="1" x14ac:dyDescent="0.25">
      <c r="A19" s="53" t="s">
        <v>25</v>
      </c>
      <c r="B19" s="54"/>
      <c r="C19" s="55" t="s">
        <v>26</v>
      </c>
      <c r="D19" s="67">
        <f>SUM(D20:D22)</f>
        <v>1581097</v>
      </c>
      <c r="E19" s="57">
        <f>SUM(E20:E22)</f>
        <v>0</v>
      </c>
      <c r="F19" s="68">
        <f t="shared" ref="F19:H19" si="2">SUM(F20:F22)</f>
        <v>0</v>
      </c>
      <c r="G19" s="68">
        <f t="shared" si="2"/>
        <v>0</v>
      </c>
      <c r="H19" s="69">
        <f t="shared" si="2"/>
        <v>0</v>
      </c>
      <c r="I19" s="70">
        <f>SUM(I20:I22)</f>
        <v>0</v>
      </c>
      <c r="J19" s="61">
        <f>IFERROR(I19/D19*100,"0")</f>
        <v>0</v>
      </c>
    </row>
    <row r="20" spans="1:12" s="52" customFormat="1" ht="15" customHeight="1" x14ac:dyDescent="0.25">
      <c r="A20" s="53" t="s">
        <v>27</v>
      </c>
      <c r="B20" s="71"/>
      <c r="C20" s="62" t="s">
        <v>28</v>
      </c>
      <c r="D20" s="72">
        <v>0</v>
      </c>
      <c r="E20" s="73">
        <v>0</v>
      </c>
      <c r="F20" s="74">
        <v>0</v>
      </c>
      <c r="G20" s="74">
        <v>0</v>
      </c>
      <c r="H20" s="75">
        <v>0</v>
      </c>
      <c r="I20" s="70">
        <f>SUM(E20:H20)</f>
        <v>0</v>
      </c>
      <c r="J20" s="61" t="str">
        <f>IFERROR(I20/D20*100,"0")</f>
        <v>0</v>
      </c>
    </row>
    <row r="21" spans="1:12" s="52" customFormat="1" ht="15" customHeight="1" x14ac:dyDescent="0.25">
      <c r="A21" s="53" t="s">
        <v>29</v>
      </c>
      <c r="B21" s="71"/>
      <c r="C21" s="62" t="s">
        <v>30</v>
      </c>
      <c r="D21" s="72">
        <v>0</v>
      </c>
      <c r="E21" s="73">
        <v>0</v>
      </c>
      <c r="F21" s="74">
        <v>0</v>
      </c>
      <c r="G21" s="74">
        <v>0</v>
      </c>
      <c r="H21" s="75">
        <v>0</v>
      </c>
      <c r="I21" s="70">
        <f>SUM(E21:H21)</f>
        <v>0</v>
      </c>
      <c r="J21" s="61" t="str">
        <f>IFERROR(I21/D21*100,"0")</f>
        <v>0</v>
      </c>
    </row>
    <row r="22" spans="1:12" s="52" customFormat="1" ht="24.75" customHeight="1" x14ac:dyDescent="0.25">
      <c r="A22" s="53" t="s">
        <v>31</v>
      </c>
      <c r="B22" s="71"/>
      <c r="C22" s="62" t="s">
        <v>32</v>
      </c>
      <c r="D22" s="76">
        <v>1581097</v>
      </c>
      <c r="E22" s="73">
        <v>0</v>
      </c>
      <c r="F22" s="74">
        <v>0</v>
      </c>
      <c r="G22" s="74">
        <v>0</v>
      </c>
      <c r="H22" s="77">
        <v>0</v>
      </c>
      <c r="I22" s="60">
        <f>SUM(E22:H22)</f>
        <v>0</v>
      </c>
      <c r="J22" s="61">
        <f>IFERROR(I22/D22*100, "0")</f>
        <v>0</v>
      </c>
    </row>
    <row r="23" spans="1:12" s="52" customFormat="1" ht="15" customHeight="1" x14ac:dyDescent="0.25">
      <c r="A23" s="53" t="s">
        <v>33</v>
      </c>
      <c r="B23" s="78"/>
      <c r="C23" s="79" t="s">
        <v>34</v>
      </c>
      <c r="D23" s="80">
        <f>D17+D19</f>
        <v>20339898</v>
      </c>
      <c r="E23" s="81">
        <f>E17-E19</f>
        <v>5546978</v>
      </c>
      <c r="F23" s="82">
        <f>F17-F19</f>
        <v>3400000</v>
      </c>
      <c r="G23" s="83">
        <f>G17-G19</f>
        <v>3861823</v>
      </c>
      <c r="H23" s="84">
        <f>H17-H19</f>
        <v>5950000</v>
      </c>
      <c r="I23" s="60">
        <f>I17+I19</f>
        <v>18758801</v>
      </c>
      <c r="J23" s="61">
        <f>I23/D23*100</f>
        <v>92.226622768708083</v>
      </c>
    </row>
    <row r="24" spans="1:12" s="52" customFormat="1" ht="15" customHeight="1" x14ac:dyDescent="0.25">
      <c r="A24" s="53"/>
      <c r="B24" s="78"/>
      <c r="C24" s="85"/>
      <c r="D24" s="86"/>
      <c r="E24" s="81"/>
      <c r="F24" s="87"/>
      <c r="G24" s="87"/>
      <c r="H24" s="87"/>
      <c r="I24" s="60"/>
      <c r="J24" s="88"/>
    </row>
    <row r="25" spans="1:12" s="52" customFormat="1" ht="15" customHeight="1" x14ac:dyDescent="0.25">
      <c r="A25" s="44">
        <v>2</v>
      </c>
      <c r="B25" s="89" t="s">
        <v>35</v>
      </c>
      <c r="C25" s="90"/>
      <c r="D25" s="91">
        <v>290000</v>
      </c>
      <c r="E25" s="81">
        <v>140000</v>
      </c>
      <c r="F25" s="87">
        <v>0</v>
      </c>
      <c r="G25" s="87">
        <v>0</v>
      </c>
      <c r="H25" s="87">
        <v>150000</v>
      </c>
      <c r="I25" s="60">
        <f>SUM(E25:H25)</f>
        <v>290000</v>
      </c>
      <c r="J25" s="61">
        <f>I25/D25*100</f>
        <v>100</v>
      </c>
    </row>
    <row r="26" spans="1:12" s="52" customFormat="1" ht="15" customHeight="1" x14ac:dyDescent="0.25">
      <c r="A26" s="53"/>
      <c r="B26" s="78"/>
      <c r="C26" s="85"/>
      <c r="D26" s="86"/>
      <c r="E26" s="84"/>
      <c r="F26" s="87"/>
      <c r="G26" s="87"/>
      <c r="H26" s="87"/>
      <c r="I26" s="60"/>
      <c r="J26" s="88"/>
    </row>
    <row r="27" spans="1:12" s="52" customFormat="1" ht="15" customHeight="1" x14ac:dyDescent="0.25">
      <c r="A27" s="92">
        <v>3</v>
      </c>
      <c r="B27" s="78" t="s">
        <v>36</v>
      </c>
      <c r="C27" s="85"/>
      <c r="D27" s="80">
        <v>1450000</v>
      </c>
      <c r="E27" s="84">
        <f t="shared" ref="E27:F27" si="3">SUM(E29:E30)</f>
        <v>0</v>
      </c>
      <c r="F27" s="83">
        <f t="shared" si="3"/>
        <v>0</v>
      </c>
      <c r="G27" s="83"/>
      <c r="H27" s="84">
        <v>500000</v>
      </c>
      <c r="I27" s="60">
        <f>SUM(E27:H27)</f>
        <v>500000</v>
      </c>
      <c r="J27" s="61">
        <f>IFERROR(I27/D27*100,"0")</f>
        <v>34.482758620689658</v>
      </c>
    </row>
    <row r="28" spans="1:12" s="52" customFormat="1" ht="15" customHeight="1" x14ac:dyDescent="0.25">
      <c r="A28" s="92"/>
      <c r="B28" s="78"/>
      <c r="C28" s="85"/>
      <c r="D28" s="80"/>
      <c r="E28" s="84"/>
      <c r="F28" s="83"/>
      <c r="G28" s="83"/>
      <c r="H28" s="84"/>
      <c r="I28" s="60"/>
      <c r="J28" s="61"/>
    </row>
    <row r="29" spans="1:12" s="52" customFormat="1" ht="15" customHeight="1" x14ac:dyDescent="0.25">
      <c r="A29" s="93">
        <v>4</v>
      </c>
      <c r="B29" s="78" t="s">
        <v>37</v>
      </c>
      <c r="C29" s="94"/>
      <c r="D29" s="80">
        <f>D30</f>
        <v>931399</v>
      </c>
      <c r="E29" s="95">
        <v>0</v>
      </c>
      <c r="F29" s="95">
        <v>0</v>
      </c>
      <c r="G29" s="95"/>
      <c r="H29" s="95"/>
      <c r="I29" s="96">
        <f>SUM(E29:H29)</f>
        <v>0</v>
      </c>
      <c r="J29" s="61">
        <f>IFERROR(I29/D29*100,"0")</f>
        <v>0</v>
      </c>
    </row>
    <row r="30" spans="1:12" s="52" customFormat="1" ht="15" customHeight="1" x14ac:dyDescent="0.25">
      <c r="A30" s="93" t="s">
        <v>38</v>
      </c>
      <c r="B30" s="89"/>
      <c r="C30" s="97" t="s">
        <v>39</v>
      </c>
      <c r="D30" s="98">
        <v>931399</v>
      </c>
      <c r="E30" s="99">
        <v>0</v>
      </c>
      <c r="F30" s="100">
        <v>0</v>
      </c>
      <c r="G30" s="100">
        <f>56463+247568+209543</f>
        <v>513574</v>
      </c>
      <c r="H30" s="100">
        <f>110533+206891+181375</f>
        <v>498799</v>
      </c>
      <c r="I30" s="60">
        <f>SUM(E30:H30)</f>
        <v>1012373</v>
      </c>
      <c r="J30" s="61">
        <f>IFERROR(I30/D30*100,"0")</f>
        <v>108.6938036222929</v>
      </c>
    </row>
    <row r="31" spans="1:12" s="52" customFormat="1" ht="14.1" customHeight="1" x14ac:dyDescent="0.25">
      <c r="A31" s="101"/>
      <c r="B31" s="102"/>
      <c r="C31" s="103"/>
      <c r="D31" s="104"/>
      <c r="E31" s="104"/>
      <c r="F31" s="105"/>
      <c r="G31" s="105"/>
      <c r="H31" s="105"/>
      <c r="I31" s="105"/>
      <c r="J31" s="106"/>
    </row>
    <row r="32" spans="1:12" s="52" customFormat="1" ht="16.5" customHeight="1" x14ac:dyDescent="0.2">
      <c r="A32" s="32" t="s">
        <v>40</v>
      </c>
      <c r="B32" s="102"/>
      <c r="C32" s="102"/>
      <c r="D32" s="104"/>
      <c r="E32" s="104"/>
      <c r="F32" s="107"/>
      <c r="G32" s="107"/>
      <c r="H32" s="107"/>
      <c r="I32" s="107"/>
      <c r="J32" s="108"/>
    </row>
    <row r="33" spans="1:15" ht="14.1" customHeight="1" x14ac:dyDescent="0.2">
      <c r="B33" s="6"/>
      <c r="C33" s="6"/>
      <c r="D33" s="109"/>
      <c r="E33" s="109"/>
      <c r="F33" s="3"/>
      <c r="G33" s="110"/>
      <c r="H33" s="110"/>
      <c r="I33" s="111"/>
      <c r="J33" s="112"/>
      <c r="K33" s="5"/>
    </row>
    <row r="34" spans="1:15" s="43" customFormat="1" ht="27" customHeight="1" x14ac:dyDescent="0.2">
      <c r="A34" s="1"/>
      <c r="B34" s="113" t="s">
        <v>41</v>
      </c>
      <c r="C34" s="114"/>
      <c r="D34" s="115" t="s">
        <v>12</v>
      </c>
      <c r="E34" s="37" t="s">
        <v>13</v>
      </c>
      <c r="F34" s="38" t="s">
        <v>14</v>
      </c>
      <c r="G34" s="39" t="s">
        <v>15</v>
      </c>
      <c r="H34" s="40" t="s">
        <v>16</v>
      </c>
      <c r="I34" s="41" t="s">
        <v>17</v>
      </c>
      <c r="J34" s="116" t="s">
        <v>18</v>
      </c>
    </row>
    <row r="35" spans="1:15" s="52" customFormat="1" ht="18" customHeight="1" x14ac:dyDescent="0.25">
      <c r="A35" s="117" t="s">
        <v>38</v>
      </c>
      <c r="B35" s="118" t="s">
        <v>42</v>
      </c>
      <c r="C35" s="119"/>
      <c r="D35" s="120">
        <f>D23</f>
        <v>20339898</v>
      </c>
      <c r="E35" s="121">
        <v>4829843.5</v>
      </c>
      <c r="F35" s="122">
        <v>5317877.3500000006</v>
      </c>
      <c r="G35" s="122">
        <v>4450711.5199999996</v>
      </c>
      <c r="H35" s="122">
        <v>3224596.7399999998</v>
      </c>
      <c r="I35" s="123">
        <f>SUM(E35:H35)</f>
        <v>17823029.109999999</v>
      </c>
      <c r="J35" s="61">
        <f>I35/D35*100</f>
        <v>87.625951270748743</v>
      </c>
    </row>
    <row r="36" spans="1:15" s="52" customFormat="1" ht="18" customHeight="1" x14ac:dyDescent="0.25">
      <c r="A36" s="117" t="s">
        <v>43</v>
      </c>
      <c r="B36" s="124" t="s">
        <v>44</v>
      </c>
      <c r="C36" s="125"/>
      <c r="D36" s="126">
        <f t="shared" ref="D36:I36" si="4">SUM(D37:D40)</f>
        <v>3228681</v>
      </c>
      <c r="E36" s="127">
        <f>SUM(E37:E40)</f>
        <v>861426.39</v>
      </c>
      <c r="F36" s="128">
        <f t="shared" si="4"/>
        <v>-39648.480000000003</v>
      </c>
      <c r="G36" s="128">
        <f t="shared" si="4"/>
        <v>733339.51</v>
      </c>
      <c r="H36" s="129">
        <f t="shared" si="4"/>
        <v>2840897.12</v>
      </c>
      <c r="I36" s="123">
        <f t="shared" si="4"/>
        <v>4396014.54</v>
      </c>
      <c r="J36" s="61">
        <f>I36/D36*100</f>
        <v>136.15512154963591</v>
      </c>
    </row>
    <row r="37" spans="1:15" s="137" customFormat="1" ht="25.5" customHeight="1" x14ac:dyDescent="0.25">
      <c r="A37" s="130" t="s">
        <v>45</v>
      </c>
      <c r="B37" s="131"/>
      <c r="C37" s="132" t="s">
        <v>46</v>
      </c>
      <c r="D37" s="133">
        <f>1033600-D41</f>
        <v>847282</v>
      </c>
      <c r="E37" s="134">
        <v>861426.39</v>
      </c>
      <c r="F37" s="135">
        <v>-39648.480000000003</v>
      </c>
      <c r="G37" s="135">
        <v>219765.51</v>
      </c>
      <c r="H37" s="135">
        <v>2342098.12</v>
      </c>
      <c r="I37" s="123">
        <f>SUM(E37:H37)</f>
        <v>3383641.54</v>
      </c>
      <c r="J37" s="61">
        <f>I37/D37*100</f>
        <v>399.35246352454084</v>
      </c>
      <c r="K37" s="136"/>
    </row>
    <row r="38" spans="1:15" s="137" customFormat="1" ht="12.75" customHeight="1" x14ac:dyDescent="0.25">
      <c r="A38" s="130" t="s">
        <v>47</v>
      </c>
      <c r="B38" s="138"/>
      <c r="C38" s="132" t="s">
        <v>48</v>
      </c>
      <c r="D38" s="76">
        <f>D29</f>
        <v>931399</v>
      </c>
      <c r="E38" s="139">
        <v>0</v>
      </c>
      <c r="F38" s="140">
        <v>0</v>
      </c>
      <c r="G38" s="141">
        <v>513574</v>
      </c>
      <c r="H38" s="141">
        <v>498799</v>
      </c>
      <c r="I38" s="123">
        <f>SUM(E38:H38)</f>
        <v>1012373</v>
      </c>
      <c r="J38" s="61">
        <f>IFERROR(I38/D38*100,"0")</f>
        <v>108.6938036222929</v>
      </c>
    </row>
    <row r="39" spans="1:15" s="137" customFormat="1" ht="12.75" customHeight="1" x14ac:dyDescent="0.25">
      <c r="A39" s="130" t="s">
        <v>49</v>
      </c>
      <c r="B39" s="138"/>
      <c r="C39" s="132" t="s">
        <v>50</v>
      </c>
      <c r="D39" s="142">
        <v>0</v>
      </c>
      <c r="E39" s="139">
        <v>0</v>
      </c>
      <c r="F39" s="140">
        <v>0</v>
      </c>
      <c r="G39" s="140">
        <v>0</v>
      </c>
      <c r="H39" s="140">
        <v>0</v>
      </c>
      <c r="I39" s="123">
        <f>SUM(E39:H39)</f>
        <v>0</v>
      </c>
      <c r="J39" s="61" t="str">
        <f>IFERROR(I39/D39*100,"0")</f>
        <v>0</v>
      </c>
    </row>
    <row r="40" spans="1:15" s="137" customFormat="1" ht="12.75" customHeight="1" x14ac:dyDescent="0.25">
      <c r="A40" s="130" t="s">
        <v>51</v>
      </c>
      <c r="B40" s="138"/>
      <c r="C40" s="132" t="s">
        <v>52</v>
      </c>
      <c r="D40" s="76">
        <f>D27</f>
        <v>1450000</v>
      </c>
      <c r="E40" s="139">
        <v>0</v>
      </c>
      <c r="F40" s="140">
        <v>0</v>
      </c>
      <c r="G40" s="140">
        <v>0</v>
      </c>
      <c r="H40" s="141">
        <v>0</v>
      </c>
      <c r="I40" s="123">
        <f>SUM(E40:H40)</f>
        <v>0</v>
      </c>
      <c r="J40" s="61">
        <f>IFERROR(I40/D40*100,"0")</f>
        <v>0</v>
      </c>
    </row>
    <row r="41" spans="1:15" s="137" customFormat="1" ht="18" customHeight="1" x14ac:dyDescent="0.25">
      <c r="A41" s="117" t="s">
        <v>53</v>
      </c>
      <c r="B41" s="124" t="s">
        <v>54</v>
      </c>
      <c r="C41" s="125"/>
      <c r="D41" s="126">
        <v>186318</v>
      </c>
      <c r="E41" s="121">
        <v>24907.73</v>
      </c>
      <c r="F41" s="122">
        <v>19769.73</v>
      </c>
      <c r="G41" s="122">
        <v>833.31</v>
      </c>
      <c r="H41" s="122">
        <v>-5389.02</v>
      </c>
      <c r="I41" s="123">
        <f>SUM(E41:H41)</f>
        <v>40121.75</v>
      </c>
      <c r="J41" s="61">
        <f>I41/D41*100</f>
        <v>21.534017110531455</v>
      </c>
    </row>
    <row r="42" spans="1:15" s="146" customFormat="1" ht="22.15" customHeight="1" x14ac:dyDescent="0.25">
      <c r="A42" s="130" t="s">
        <v>55</v>
      </c>
      <c r="B42" s="143" t="s">
        <v>56</v>
      </c>
      <c r="C42" s="144"/>
      <c r="D42" s="126">
        <f>SUM(D35+D36+D41)</f>
        <v>23754897</v>
      </c>
      <c r="E42" s="127">
        <f>SUM(E35+E36+E41)</f>
        <v>5716177.6200000001</v>
      </c>
      <c r="F42" s="127">
        <f>SUM(F35+F36+F41)</f>
        <v>5297998.6000000006</v>
      </c>
      <c r="G42" s="127">
        <f>SUM(G35+G36+G41)</f>
        <v>5184884.3399999989</v>
      </c>
      <c r="H42" s="127">
        <f>SUM(H35+H36+H41)</f>
        <v>6060104.8399999999</v>
      </c>
      <c r="I42" s="145">
        <f>SUM(I35+I36+I41+I44)</f>
        <v>22259165.399999999</v>
      </c>
      <c r="J42" s="61">
        <f>I42/D42*100</f>
        <v>93.703481012778113</v>
      </c>
      <c r="L42" s="147"/>
      <c r="M42" s="147"/>
      <c r="N42" s="147"/>
      <c r="O42" s="148"/>
    </row>
    <row r="43" spans="1:15" s="146" customFormat="1" ht="8.1" customHeight="1" x14ac:dyDescent="0.25">
      <c r="A43" s="149"/>
      <c r="B43" s="150"/>
      <c r="C43" s="150"/>
      <c r="D43" s="151"/>
      <c r="E43" s="151"/>
      <c r="F43" s="152"/>
      <c r="G43" s="152"/>
      <c r="H43" s="152"/>
      <c r="I43" s="153"/>
      <c r="J43" s="154"/>
    </row>
    <row r="44" spans="1:15" s="146" customFormat="1" ht="22.15" customHeight="1" x14ac:dyDescent="0.25">
      <c r="A44" s="155" t="s">
        <v>57</v>
      </c>
      <c r="B44" s="143" t="s">
        <v>58</v>
      </c>
      <c r="C44" s="144"/>
      <c r="D44" s="156">
        <v>8590038</v>
      </c>
      <c r="E44" s="127">
        <v>0</v>
      </c>
      <c r="F44" s="157">
        <v>0</v>
      </c>
      <c r="G44" s="157">
        <v>0</v>
      </c>
      <c r="H44" s="157">
        <v>0</v>
      </c>
      <c r="I44" s="145">
        <v>0</v>
      </c>
      <c r="J44" s="158"/>
      <c r="K44" s="147"/>
      <c r="L44" s="147"/>
      <c r="M44" s="147"/>
      <c r="N44" s="148"/>
    </row>
    <row r="45" spans="1:15" s="52" customFormat="1" ht="8.1" customHeight="1" x14ac:dyDescent="0.2">
      <c r="A45" s="1"/>
      <c r="B45" s="159"/>
      <c r="C45" s="159"/>
      <c r="D45" s="160"/>
      <c r="E45" s="160"/>
      <c r="F45" s="107"/>
      <c r="G45" s="107"/>
      <c r="H45" s="107"/>
      <c r="I45" s="105"/>
      <c r="J45" s="106"/>
    </row>
    <row r="46" spans="1:15" s="43" customFormat="1" ht="27" customHeight="1" x14ac:dyDescent="0.2">
      <c r="A46" s="1"/>
      <c r="B46" s="161" t="s">
        <v>59</v>
      </c>
      <c r="C46" s="162"/>
      <c r="D46" s="115" t="s">
        <v>12</v>
      </c>
      <c r="E46" s="37" t="s">
        <v>13</v>
      </c>
      <c r="F46" s="38" t="s">
        <v>14</v>
      </c>
      <c r="G46" s="39" t="s">
        <v>15</v>
      </c>
      <c r="H46" s="40" t="s">
        <v>16</v>
      </c>
      <c r="I46" s="41" t="s">
        <v>17</v>
      </c>
      <c r="J46" s="116" t="s">
        <v>18</v>
      </c>
    </row>
    <row r="47" spans="1:15" s="52" customFormat="1" ht="18" customHeight="1" x14ac:dyDescent="0.25">
      <c r="A47" s="163">
        <v>7</v>
      </c>
      <c r="B47" s="164" t="s">
        <v>60</v>
      </c>
      <c r="C47" s="165"/>
      <c r="D47" s="166">
        <f>+D49+D52+D55+D58</f>
        <v>-14068488.560000002</v>
      </c>
      <c r="E47" s="167">
        <f>+E49+E52+E55+E58</f>
        <v>-3591487.8600000003</v>
      </c>
      <c r="F47" s="167">
        <f t="shared" ref="F47:H47" si="5">+F49+F52+F55+F58</f>
        <v>-3046172.12</v>
      </c>
      <c r="G47" s="167">
        <f t="shared" si="5"/>
        <v>-3271211.9499999997</v>
      </c>
      <c r="H47" s="168">
        <f t="shared" si="5"/>
        <v>-4016765.6100000003</v>
      </c>
      <c r="I47" s="169">
        <f>+I49+I52+I55+I58</f>
        <v>-13925637.539999999</v>
      </c>
      <c r="J47" s="61">
        <f>I47/D47*100</f>
        <v>98.984602934488905</v>
      </c>
      <c r="K47" s="170"/>
    </row>
    <row r="48" spans="1:15" s="52" customFormat="1" ht="12.75" customHeight="1" x14ac:dyDescent="0.25">
      <c r="A48" s="163" t="s">
        <v>61</v>
      </c>
      <c r="B48" s="171"/>
      <c r="C48" s="172" t="s">
        <v>62</v>
      </c>
      <c r="D48" s="173"/>
      <c r="E48" s="174"/>
      <c r="F48" s="175"/>
      <c r="G48" s="175"/>
      <c r="H48" s="175"/>
      <c r="I48" s="176"/>
      <c r="J48" s="61"/>
      <c r="K48" s="177"/>
    </row>
    <row r="49" spans="1:10" s="52" customFormat="1" x14ac:dyDescent="0.25">
      <c r="A49" s="163" t="s">
        <v>63</v>
      </c>
      <c r="B49" s="138"/>
      <c r="C49" s="132" t="s">
        <v>64</v>
      </c>
      <c r="D49" s="173">
        <f t="shared" ref="D49:F49" si="6">SUM(D50:D51)</f>
        <v>-1009244.1600000001</v>
      </c>
      <c r="E49" s="167">
        <f t="shared" si="6"/>
        <v>-313800.95</v>
      </c>
      <c r="F49" s="167">
        <f t="shared" si="6"/>
        <v>-253599.95</v>
      </c>
      <c r="G49" s="167">
        <f t="shared" ref="G49:H49" si="7">SUM(G50:G51)</f>
        <v>-278984.66000000003</v>
      </c>
      <c r="H49" s="167">
        <f t="shared" si="7"/>
        <v>-463739.17</v>
      </c>
      <c r="I49" s="176">
        <f>SUM(I50:I51)</f>
        <v>-1310124.73</v>
      </c>
      <c r="J49" s="61">
        <f t="shared" ref="J49:J57" si="8">I49/D49*100</f>
        <v>129.81246579618551</v>
      </c>
    </row>
    <row r="50" spans="1:10" s="52" customFormat="1" x14ac:dyDescent="0.25">
      <c r="A50" s="163" t="s">
        <v>65</v>
      </c>
      <c r="B50" s="178"/>
      <c r="C50" s="179" t="s">
        <v>66</v>
      </c>
      <c r="D50" s="180">
        <v>-315006</v>
      </c>
      <c r="E50" s="134">
        <v>-98250.79</v>
      </c>
      <c r="F50" s="135">
        <v>-73627.48</v>
      </c>
      <c r="G50" s="135">
        <v>-83468.61</v>
      </c>
      <c r="H50" s="135">
        <v>-147524.74</v>
      </c>
      <c r="I50" s="181">
        <f>SUM(E50:H50)</f>
        <v>-402871.62</v>
      </c>
      <c r="J50" s="61">
        <f t="shared" si="8"/>
        <v>127.89331631778442</v>
      </c>
    </row>
    <row r="51" spans="1:10" s="52" customFormat="1" x14ac:dyDescent="0.25">
      <c r="A51" s="163" t="s">
        <v>67</v>
      </c>
      <c r="B51" s="178"/>
      <c r="C51" s="179" t="s">
        <v>68</v>
      </c>
      <c r="D51" s="180">
        <v>-694238.16000000015</v>
      </c>
      <c r="E51" s="134">
        <v>-215550.16000000003</v>
      </c>
      <c r="F51" s="135">
        <v>-179972.47000000003</v>
      </c>
      <c r="G51" s="135">
        <v>-195516.05000000002</v>
      </c>
      <c r="H51" s="135">
        <v>-316214.43</v>
      </c>
      <c r="I51" s="181">
        <f>SUM(E51:H51)</f>
        <v>-907253.1100000001</v>
      </c>
      <c r="J51" s="61">
        <f t="shared" si="8"/>
        <v>130.68326725226396</v>
      </c>
    </row>
    <row r="52" spans="1:10" s="52" customFormat="1" ht="12.75" customHeight="1" x14ac:dyDescent="0.25">
      <c r="A52" s="163" t="s">
        <v>69</v>
      </c>
      <c r="B52" s="138"/>
      <c r="C52" s="132" t="s">
        <v>70</v>
      </c>
      <c r="D52" s="173">
        <f t="shared" ref="D52:H52" si="9">D53+D54</f>
        <v>-12693170.600000001</v>
      </c>
      <c r="E52" s="167">
        <f t="shared" si="9"/>
        <v>-3197423.0300000003</v>
      </c>
      <c r="F52" s="167">
        <f t="shared" si="9"/>
        <v>-2746834.44</v>
      </c>
      <c r="G52" s="167">
        <f t="shared" si="9"/>
        <v>-2949168.8699999996</v>
      </c>
      <c r="H52" s="167">
        <f t="shared" si="9"/>
        <v>-3493855.3600000003</v>
      </c>
      <c r="I52" s="176">
        <f>SUM(I53:I54)</f>
        <v>-12387281.699999999</v>
      </c>
      <c r="J52" s="61">
        <f t="shared" si="8"/>
        <v>97.590130081447086</v>
      </c>
    </row>
    <row r="53" spans="1:10" s="52" customFormat="1" x14ac:dyDescent="0.25">
      <c r="A53" s="163" t="s">
        <v>71</v>
      </c>
      <c r="B53" s="178"/>
      <c r="C53" s="179" t="s">
        <v>66</v>
      </c>
      <c r="D53" s="180">
        <v>-2929985.88</v>
      </c>
      <c r="E53" s="134">
        <v>-723979.87000000011</v>
      </c>
      <c r="F53" s="135">
        <v>-654610.64999999991</v>
      </c>
      <c r="G53" s="135">
        <v>-655198.23999999987</v>
      </c>
      <c r="H53" s="135">
        <v>-822766.36000000022</v>
      </c>
      <c r="I53" s="181">
        <f>SUM(E53:H53)</f>
        <v>-2856555.12</v>
      </c>
      <c r="J53" s="61">
        <f t="shared" si="8"/>
        <v>97.493818639153318</v>
      </c>
    </row>
    <row r="54" spans="1:10" s="52" customFormat="1" x14ac:dyDescent="0.25">
      <c r="A54" s="163" t="s">
        <v>72</v>
      </c>
      <c r="B54" s="178"/>
      <c r="C54" s="179" t="s">
        <v>68</v>
      </c>
      <c r="D54" s="180">
        <f>-9763184.72</f>
        <v>-9763184.7200000007</v>
      </c>
      <c r="E54" s="134">
        <v>-2473443.16</v>
      </c>
      <c r="F54" s="135">
        <v>-2092223.79</v>
      </c>
      <c r="G54" s="135">
        <v>-2293970.63</v>
      </c>
      <c r="H54" s="135">
        <v>-2671089</v>
      </c>
      <c r="I54" s="181">
        <f>SUM(E54:H54)</f>
        <v>-9530726.5800000001</v>
      </c>
      <c r="J54" s="61">
        <f t="shared" si="8"/>
        <v>97.619033679411928</v>
      </c>
    </row>
    <row r="55" spans="1:10" s="52" customFormat="1" ht="12.75" customHeight="1" x14ac:dyDescent="0.25">
      <c r="A55" s="163" t="s">
        <v>73</v>
      </c>
      <c r="B55" s="138"/>
      <c r="C55" s="132" t="s">
        <v>74</v>
      </c>
      <c r="D55" s="173">
        <f t="shared" ref="D55:H55" si="10">SUM(D56:D57)</f>
        <v>-281476.8</v>
      </c>
      <c r="E55" s="167">
        <f t="shared" si="10"/>
        <v>-41386.67</v>
      </c>
      <c r="F55" s="167">
        <f t="shared" si="10"/>
        <v>-23230</v>
      </c>
      <c r="G55" s="167">
        <f t="shared" si="10"/>
        <v>-22296.67</v>
      </c>
      <c r="H55" s="167">
        <f t="shared" si="10"/>
        <v>-32523.33</v>
      </c>
      <c r="I55" s="176">
        <f>SUM(I56:I57)</f>
        <v>-119436.67</v>
      </c>
      <c r="J55" s="61">
        <f t="shared" si="8"/>
        <v>42.432154266355163</v>
      </c>
    </row>
    <row r="56" spans="1:10" s="52" customFormat="1" x14ac:dyDescent="0.25">
      <c r="A56" s="163" t="s">
        <v>75</v>
      </c>
      <c r="B56" s="178"/>
      <c r="C56" s="179" t="s">
        <v>66</v>
      </c>
      <c r="D56" s="180">
        <f>-18662.04</f>
        <v>-18662.04</v>
      </c>
      <c r="E56" s="134">
        <v>-4500</v>
      </c>
      <c r="F56" s="135">
        <v>-2300</v>
      </c>
      <c r="G56" s="135">
        <v>-2300</v>
      </c>
      <c r="H56" s="135">
        <v>-4450</v>
      </c>
      <c r="I56" s="181">
        <f>SUM(E56:H56)</f>
        <v>-13550</v>
      </c>
      <c r="J56" s="61">
        <f t="shared" si="8"/>
        <v>72.607281947739892</v>
      </c>
    </row>
    <row r="57" spans="1:10" s="52" customFormat="1" x14ac:dyDescent="0.25">
      <c r="A57" s="163" t="s">
        <v>76</v>
      </c>
      <c r="B57" s="178"/>
      <c r="C57" s="179" t="s">
        <v>68</v>
      </c>
      <c r="D57" s="180">
        <v>-262814.76</v>
      </c>
      <c r="E57" s="134">
        <v>-36886.67</v>
      </c>
      <c r="F57" s="135">
        <v>-20930</v>
      </c>
      <c r="G57" s="135">
        <v>-19996.669999999998</v>
      </c>
      <c r="H57" s="135">
        <v>-28073.33</v>
      </c>
      <c r="I57" s="181">
        <f>SUM(E57:H57)</f>
        <v>-105886.67</v>
      </c>
      <c r="J57" s="61">
        <f t="shared" si="8"/>
        <v>40.289468521478774</v>
      </c>
    </row>
    <row r="58" spans="1:10" s="52" customFormat="1" ht="12.75" customHeight="1" x14ac:dyDescent="0.25">
      <c r="A58" s="163" t="s">
        <v>77</v>
      </c>
      <c r="B58" s="138"/>
      <c r="C58" s="132" t="s">
        <v>78</v>
      </c>
      <c r="D58" s="173">
        <f t="shared" ref="D58:H58" si="11">SUM(D59:D60)</f>
        <v>-84597</v>
      </c>
      <c r="E58" s="167">
        <f t="shared" si="11"/>
        <v>-38877.21</v>
      </c>
      <c r="F58" s="167">
        <f t="shared" si="11"/>
        <v>-22507.730000000003</v>
      </c>
      <c r="G58" s="167">
        <f t="shared" si="11"/>
        <v>-20761.75</v>
      </c>
      <c r="H58" s="167">
        <f t="shared" si="11"/>
        <v>-26647.75</v>
      </c>
      <c r="I58" s="176">
        <f>SUM(I59:I60)</f>
        <v>-108794.44</v>
      </c>
      <c r="J58" s="61">
        <f>IFERROR(I58/D58*100,"0")</f>
        <v>128.60318923838906</v>
      </c>
    </row>
    <row r="59" spans="1:10" s="52" customFormat="1" x14ac:dyDescent="0.25">
      <c r="A59" s="163" t="s">
        <v>79</v>
      </c>
      <c r="B59" s="178"/>
      <c r="C59" s="179" t="s">
        <v>66</v>
      </c>
      <c r="D59" s="180">
        <v>-22739</v>
      </c>
      <c r="E59" s="134">
        <v>-17032.29</v>
      </c>
      <c r="F59" s="135">
        <v>-5190.88</v>
      </c>
      <c r="G59" s="135">
        <v>-2395.85</v>
      </c>
      <c r="H59" s="135">
        <v>-11685.49</v>
      </c>
      <c r="I59" s="181">
        <f>SUM(E59:H59)</f>
        <v>-36304.51</v>
      </c>
      <c r="J59" s="61">
        <f>IFERROR(I59/D59*100,"0")</f>
        <v>159.65746075025288</v>
      </c>
    </row>
    <row r="60" spans="1:10" s="52" customFormat="1" x14ac:dyDescent="0.25">
      <c r="A60" s="163" t="s">
        <v>80</v>
      </c>
      <c r="B60" s="178"/>
      <c r="C60" s="179" t="s">
        <v>68</v>
      </c>
      <c r="D60" s="180">
        <v>-61858</v>
      </c>
      <c r="E60" s="134">
        <v>-21844.92</v>
      </c>
      <c r="F60" s="135">
        <v>-17316.850000000002</v>
      </c>
      <c r="G60" s="135">
        <v>-18365.900000000001</v>
      </c>
      <c r="H60" s="135">
        <v>-14962.260000000002</v>
      </c>
      <c r="I60" s="181">
        <f>SUM(E60:H60)</f>
        <v>-72489.930000000008</v>
      </c>
      <c r="J60" s="61">
        <f>IFERROR(I60/D60*100,"0")</f>
        <v>117.18763943224806</v>
      </c>
    </row>
    <row r="61" spans="1:10" s="52" customFormat="1" ht="28.5" customHeight="1" x14ac:dyDescent="0.25">
      <c r="A61" s="44">
        <v>8</v>
      </c>
      <c r="B61" s="182" t="s">
        <v>81</v>
      </c>
      <c r="C61" s="183"/>
      <c r="D61" s="173">
        <f t="shared" ref="D61:F61" si="12">SUM(D62:D69)</f>
        <v>-3987673.93</v>
      </c>
      <c r="E61" s="167">
        <f t="shared" si="12"/>
        <v>-885260.58000000007</v>
      </c>
      <c r="F61" s="167">
        <f t="shared" si="12"/>
        <v>-798083.45000000007</v>
      </c>
      <c r="G61" s="167">
        <f t="shared" ref="G61:H61" si="13">SUM(G62:G69)</f>
        <v>-830094.75999999989</v>
      </c>
      <c r="H61" s="167">
        <f t="shared" si="13"/>
        <v>-919166.39</v>
      </c>
      <c r="I61" s="176">
        <f>SUM(I62:I69)</f>
        <v>-3432605.18</v>
      </c>
      <c r="J61" s="61">
        <f t="shared" ref="J61:J68" si="14">I61/D61*100</f>
        <v>86.080387721169572</v>
      </c>
    </row>
    <row r="62" spans="1:10" s="52" customFormat="1" x14ac:dyDescent="0.25">
      <c r="A62" s="163" t="s">
        <v>82</v>
      </c>
      <c r="B62" s="178"/>
      <c r="C62" s="179" t="s">
        <v>83</v>
      </c>
      <c r="D62" s="133">
        <v>-833925.87</v>
      </c>
      <c r="E62" s="134">
        <v>-208332.07</v>
      </c>
      <c r="F62" s="135">
        <v>-153633.40000000002</v>
      </c>
      <c r="G62" s="135">
        <v>-142987.64000000001</v>
      </c>
      <c r="H62" s="135">
        <v>-279524.07</v>
      </c>
      <c r="I62" s="181">
        <f t="shared" ref="I62:I69" si="15">SUM(E62:H62)</f>
        <v>-784477.18</v>
      </c>
      <c r="J62" s="61">
        <f t="shared" si="14"/>
        <v>94.070373425398117</v>
      </c>
    </row>
    <row r="63" spans="1:10" s="52" customFormat="1" ht="12.75" customHeight="1" x14ac:dyDescent="0.25">
      <c r="A63" s="163" t="s">
        <v>84</v>
      </c>
      <c r="B63" s="178"/>
      <c r="C63" s="179" t="s">
        <v>85</v>
      </c>
      <c r="D63" s="133">
        <v>-2268235.06</v>
      </c>
      <c r="E63" s="134">
        <v>-427626.10000000003</v>
      </c>
      <c r="F63" s="135">
        <v>-510580.03</v>
      </c>
      <c r="G63" s="135">
        <v>-555541.03</v>
      </c>
      <c r="H63" s="135">
        <v>-449530.34</v>
      </c>
      <c r="I63" s="181">
        <f t="shared" si="15"/>
        <v>-1943277.5000000002</v>
      </c>
      <c r="J63" s="61">
        <f t="shared" si="14"/>
        <v>85.673550077301073</v>
      </c>
    </row>
    <row r="64" spans="1:10" s="52" customFormat="1" x14ac:dyDescent="0.25">
      <c r="A64" s="163" t="s">
        <v>86</v>
      </c>
      <c r="B64" s="178"/>
      <c r="C64" s="179" t="s">
        <v>87</v>
      </c>
      <c r="D64" s="133">
        <v>-105570</v>
      </c>
      <c r="E64" s="134">
        <v>-26766.14</v>
      </c>
      <c r="F64" s="135">
        <v>-26598</v>
      </c>
      <c r="G64" s="135">
        <v>-26739.69</v>
      </c>
      <c r="H64" s="135">
        <v>-26598</v>
      </c>
      <c r="I64" s="181">
        <f t="shared" si="15"/>
        <v>-106701.83</v>
      </c>
      <c r="J64" s="61">
        <f t="shared" si="14"/>
        <v>101.07211328976035</v>
      </c>
    </row>
    <row r="65" spans="1:10" s="52" customFormat="1" ht="12.75" customHeight="1" x14ac:dyDescent="0.25">
      <c r="A65" s="163" t="s">
        <v>88</v>
      </c>
      <c r="B65" s="178"/>
      <c r="C65" s="179" t="s">
        <v>89</v>
      </c>
      <c r="D65" s="133">
        <v>-220000</v>
      </c>
      <c r="E65" s="134">
        <v>-64164.06</v>
      </c>
      <c r="F65" s="135">
        <v>-58709.86</v>
      </c>
      <c r="G65" s="135">
        <v>-65400.22</v>
      </c>
      <c r="H65" s="135">
        <v>-65961.570000000007</v>
      </c>
      <c r="I65" s="181">
        <f t="shared" si="15"/>
        <v>-254235.71000000002</v>
      </c>
      <c r="J65" s="61">
        <f t="shared" si="14"/>
        <v>115.56168636363637</v>
      </c>
    </row>
    <row r="66" spans="1:10" s="52" customFormat="1" ht="12.75" customHeight="1" x14ac:dyDescent="0.25">
      <c r="A66" s="163" t="s">
        <v>90</v>
      </c>
      <c r="B66" s="178"/>
      <c r="C66" s="179" t="s">
        <v>91</v>
      </c>
      <c r="D66" s="133">
        <v>-431094</v>
      </c>
      <c r="E66" s="134">
        <v>-156172.21000000002</v>
      </c>
      <c r="F66" s="135">
        <v>-48562.16</v>
      </c>
      <c r="G66" s="135">
        <v>-36779.590000000004</v>
      </c>
      <c r="H66" s="135">
        <v>-49136.41</v>
      </c>
      <c r="I66" s="181">
        <f t="shared" si="15"/>
        <v>-290650.37</v>
      </c>
      <c r="J66" s="61">
        <f t="shared" si="14"/>
        <v>67.421576268748808</v>
      </c>
    </row>
    <row r="67" spans="1:10" s="52" customFormat="1" x14ac:dyDescent="0.25">
      <c r="A67" s="93" t="s">
        <v>92</v>
      </c>
      <c r="B67" s="71"/>
      <c r="C67" s="62" t="s">
        <v>93</v>
      </c>
      <c r="D67" s="133">
        <v>-2500</v>
      </c>
      <c r="E67" s="134">
        <v>-2200</v>
      </c>
      <c r="F67" s="135">
        <v>0</v>
      </c>
      <c r="G67" s="135">
        <v>0</v>
      </c>
      <c r="H67" s="135">
        <v>-2916</v>
      </c>
      <c r="I67" s="181">
        <f t="shared" si="15"/>
        <v>-5116</v>
      </c>
      <c r="J67" s="61">
        <f t="shared" si="14"/>
        <v>204.64000000000001</v>
      </c>
    </row>
    <row r="68" spans="1:10" s="52" customFormat="1" x14ac:dyDescent="0.25">
      <c r="A68" s="163" t="s">
        <v>94</v>
      </c>
      <c r="B68" s="178"/>
      <c r="C68" s="179" t="s">
        <v>95</v>
      </c>
      <c r="D68" s="133">
        <v>-126349</v>
      </c>
      <c r="E68" s="134">
        <v>0</v>
      </c>
      <c r="F68" s="135">
        <v>0</v>
      </c>
      <c r="G68" s="135">
        <v>-2646.59</v>
      </c>
      <c r="H68" s="135">
        <v>-45500</v>
      </c>
      <c r="I68" s="181">
        <f t="shared" si="15"/>
        <v>-48146.59</v>
      </c>
      <c r="J68" s="61">
        <f t="shared" si="14"/>
        <v>38.106031705830674</v>
      </c>
    </row>
    <row r="69" spans="1:10" s="52" customFormat="1" ht="12.75" customHeight="1" x14ac:dyDescent="0.25">
      <c r="A69" s="163" t="s">
        <v>96</v>
      </c>
      <c r="B69" s="178"/>
      <c r="C69" s="179" t="s">
        <v>97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81">
        <f t="shared" si="15"/>
        <v>0</v>
      </c>
      <c r="J69" s="61" t="str">
        <f>IFERROR(I69/D69*100,"0")</f>
        <v>0</v>
      </c>
    </row>
    <row r="70" spans="1:10" s="52" customFormat="1" ht="27" customHeight="1" x14ac:dyDescent="0.2">
      <c r="A70" s="1"/>
      <c r="B70" s="161" t="s">
        <v>59</v>
      </c>
      <c r="C70" s="162"/>
      <c r="D70" s="115" t="s">
        <v>12</v>
      </c>
      <c r="E70" s="37" t="s">
        <v>13</v>
      </c>
      <c r="F70" s="38" t="s">
        <v>14</v>
      </c>
      <c r="G70" s="39" t="s">
        <v>15</v>
      </c>
      <c r="H70" s="40" t="s">
        <v>16</v>
      </c>
      <c r="I70" s="41" t="s">
        <v>17</v>
      </c>
      <c r="J70" s="116" t="s">
        <v>18</v>
      </c>
    </row>
    <row r="71" spans="1:10" s="52" customFormat="1" ht="18" customHeight="1" x14ac:dyDescent="0.25">
      <c r="A71" s="44">
        <v>9</v>
      </c>
      <c r="B71" s="184" t="s">
        <v>98</v>
      </c>
      <c r="C71" s="185"/>
      <c r="D71" s="173">
        <f t="shared" ref="D71:I71" si="16">SUM(D72:D73)+SUM(D79:D86)</f>
        <v>-2631180</v>
      </c>
      <c r="E71" s="121">
        <f t="shared" si="16"/>
        <v>-654572.86</v>
      </c>
      <c r="F71" s="121">
        <f t="shared" si="16"/>
        <v>-584118.65999999992</v>
      </c>
      <c r="G71" s="121">
        <f t="shared" si="16"/>
        <v>-441194.95000000007</v>
      </c>
      <c r="H71" s="186">
        <f>SUM(H72:H73)+SUM(H79:H86)</f>
        <v>-616394.61</v>
      </c>
      <c r="I71" s="121">
        <f t="shared" si="16"/>
        <v>-2296281.08</v>
      </c>
      <c r="J71" s="61">
        <f>I71/D71*100</f>
        <v>87.271911461777606</v>
      </c>
    </row>
    <row r="72" spans="1:10" s="52" customFormat="1" ht="12.75" customHeight="1" x14ac:dyDescent="0.25">
      <c r="A72" s="163" t="s">
        <v>99</v>
      </c>
      <c r="B72" s="178"/>
      <c r="C72" s="179" t="s">
        <v>100</v>
      </c>
      <c r="D72" s="180">
        <v>0</v>
      </c>
      <c r="E72" s="134">
        <v>0</v>
      </c>
      <c r="F72" s="187">
        <v>0</v>
      </c>
      <c r="G72" s="187">
        <v>0</v>
      </c>
      <c r="H72" s="187">
        <v>0</v>
      </c>
      <c r="I72" s="181">
        <f t="shared" ref="I72:I86" si="17">SUM(E72:H72)</f>
        <v>0</v>
      </c>
      <c r="J72" s="61" t="str">
        <f>IFERROR(I72/D72*100,"0")</f>
        <v>0</v>
      </c>
    </row>
    <row r="73" spans="1:10" s="52" customFormat="1" x14ac:dyDescent="0.25">
      <c r="A73" s="163" t="s">
        <v>101</v>
      </c>
      <c r="B73" s="178"/>
      <c r="C73" s="179" t="s">
        <v>102</v>
      </c>
      <c r="D73" s="180">
        <f>SUM(D74:D78)</f>
        <v>-2314792</v>
      </c>
      <c r="E73" s="134">
        <f>SUM(E74:E78)</f>
        <v>-517948.12</v>
      </c>
      <c r="F73" s="134">
        <f>SUM(F74:F78)</f>
        <v>-533432.30999999994</v>
      </c>
      <c r="G73" s="134">
        <f>SUM(G74:G78)</f>
        <v>-379775.39000000007</v>
      </c>
      <c r="H73" s="180">
        <f>SUM(H74:H78)</f>
        <v>-551964.72</v>
      </c>
      <c r="I73" s="181">
        <f t="shared" si="17"/>
        <v>-1983120.54</v>
      </c>
      <c r="J73" s="61">
        <f>I73/D73*100</f>
        <v>85.671651707799228</v>
      </c>
    </row>
    <row r="74" spans="1:10" s="52" customFormat="1" x14ac:dyDescent="0.25">
      <c r="A74" s="163" t="s">
        <v>103</v>
      </c>
      <c r="B74" s="178"/>
      <c r="C74" s="179" t="s">
        <v>104</v>
      </c>
      <c r="D74" s="180">
        <v>-335020</v>
      </c>
      <c r="E74" s="134">
        <v>-74790.62</v>
      </c>
      <c r="F74" s="135">
        <v>-72648.47</v>
      </c>
      <c r="G74" s="135">
        <v>-26968.58</v>
      </c>
      <c r="H74" s="135">
        <v>-60303.8</v>
      </c>
      <c r="I74" s="181">
        <f t="shared" si="17"/>
        <v>-234711.46999999997</v>
      </c>
      <c r="J74" s="61">
        <f t="shared" ref="J74:J78" si="18">I74/D74*100</f>
        <v>70.05894274968658</v>
      </c>
    </row>
    <row r="75" spans="1:10" s="52" customFormat="1" x14ac:dyDescent="0.25">
      <c r="A75" s="163" t="s">
        <v>105</v>
      </c>
      <c r="B75" s="178"/>
      <c r="C75" s="179" t="s">
        <v>106</v>
      </c>
      <c r="D75" s="180">
        <v>-1800900</v>
      </c>
      <c r="E75" s="134">
        <v>-408060.16000000003</v>
      </c>
      <c r="F75" s="135">
        <v>-438757.57999999996</v>
      </c>
      <c r="G75" s="135">
        <v>-333002.89</v>
      </c>
      <c r="H75" s="135">
        <v>-467276.95999999996</v>
      </c>
      <c r="I75" s="181">
        <f t="shared" si="17"/>
        <v>-1647097.5899999999</v>
      </c>
      <c r="J75" s="61">
        <f t="shared" si="18"/>
        <v>91.459691820756291</v>
      </c>
    </row>
    <row r="76" spans="1:10" s="52" customFormat="1" x14ac:dyDescent="0.25">
      <c r="A76" s="163" t="s">
        <v>107</v>
      </c>
      <c r="B76" s="178"/>
      <c r="C76" s="179" t="s">
        <v>108</v>
      </c>
      <c r="D76" s="180">
        <v>-19872</v>
      </c>
      <c r="E76" s="134">
        <v>-475.91000000000008</v>
      </c>
      <c r="F76" s="135">
        <v>-4073</v>
      </c>
      <c r="G76" s="135">
        <v>-454.21</v>
      </c>
      <c r="H76" s="135">
        <v>-1292.1399999999999</v>
      </c>
      <c r="I76" s="181">
        <f t="shared" si="17"/>
        <v>-6295.26</v>
      </c>
      <c r="J76" s="61">
        <f t="shared" si="18"/>
        <v>31.67904589371981</v>
      </c>
    </row>
    <row r="77" spans="1:10" s="52" customFormat="1" x14ac:dyDescent="0.25">
      <c r="A77" s="163" t="s">
        <v>109</v>
      </c>
      <c r="B77" s="178"/>
      <c r="C77" s="179" t="s">
        <v>110</v>
      </c>
      <c r="D77" s="180">
        <v>-129600</v>
      </c>
      <c r="E77" s="134">
        <v>-28694.99</v>
      </c>
      <c r="F77" s="135">
        <v>-11944.380000000001</v>
      </c>
      <c r="G77" s="135">
        <v>-15719.869999999999</v>
      </c>
      <c r="H77" s="135">
        <v>-15514.210000000001</v>
      </c>
      <c r="I77" s="181">
        <f t="shared" si="17"/>
        <v>-71873.450000000012</v>
      </c>
      <c r="J77" s="61">
        <f t="shared" si="18"/>
        <v>55.457908950617295</v>
      </c>
    </row>
    <row r="78" spans="1:10" s="52" customFormat="1" x14ac:dyDescent="0.25">
      <c r="A78" s="163" t="s">
        <v>111</v>
      </c>
      <c r="B78" s="178"/>
      <c r="C78" s="179" t="s">
        <v>112</v>
      </c>
      <c r="D78" s="180">
        <v>-29400</v>
      </c>
      <c r="E78" s="134">
        <v>-5926.4400000000005</v>
      </c>
      <c r="F78" s="135">
        <v>-6008.88</v>
      </c>
      <c r="G78" s="135">
        <v>-3629.8400000000006</v>
      </c>
      <c r="H78" s="135">
        <v>-7577.6100000000006</v>
      </c>
      <c r="I78" s="181">
        <f t="shared" si="17"/>
        <v>-23142.77</v>
      </c>
      <c r="J78" s="61">
        <f t="shared" si="18"/>
        <v>78.716904761904757</v>
      </c>
    </row>
    <row r="79" spans="1:10" s="52" customFormat="1" ht="12.75" customHeight="1" x14ac:dyDescent="0.25">
      <c r="A79" s="93" t="s">
        <v>113</v>
      </c>
      <c r="B79" s="71"/>
      <c r="C79" s="62" t="s">
        <v>114</v>
      </c>
      <c r="D79" s="180">
        <v>-20000</v>
      </c>
      <c r="E79" s="134">
        <v>-2524.5</v>
      </c>
      <c r="F79" s="135">
        <v>-2339</v>
      </c>
      <c r="G79" s="135">
        <v>-19643.8</v>
      </c>
      <c r="H79" s="135">
        <v>-20005.920000000002</v>
      </c>
      <c r="I79" s="181">
        <f t="shared" si="17"/>
        <v>-44513.22</v>
      </c>
      <c r="J79" s="61">
        <f>IFERROR(I79/D79*100,"0")</f>
        <v>222.56610000000001</v>
      </c>
    </row>
    <row r="80" spans="1:10" s="52" customFormat="1" ht="12.75" customHeight="1" x14ac:dyDescent="0.25">
      <c r="A80" s="163" t="s">
        <v>115</v>
      </c>
      <c r="B80" s="178"/>
      <c r="C80" s="179" t="s">
        <v>116</v>
      </c>
      <c r="D80" s="180">
        <v>-41480</v>
      </c>
      <c r="E80" s="134">
        <v>-28233.1</v>
      </c>
      <c r="F80" s="135">
        <v>-9248.4299999999985</v>
      </c>
      <c r="G80" s="135">
        <v>-511.11</v>
      </c>
      <c r="H80" s="135">
        <v>-2609.63</v>
      </c>
      <c r="I80" s="181">
        <f t="shared" si="17"/>
        <v>-40602.269999999997</v>
      </c>
      <c r="J80" s="61">
        <f>I80/D80*100</f>
        <v>97.883968177434895</v>
      </c>
    </row>
    <row r="81" spans="1:10" s="52" customFormat="1" ht="12.75" customHeight="1" x14ac:dyDescent="0.25">
      <c r="A81" s="93" t="s">
        <v>117</v>
      </c>
      <c r="B81" s="71"/>
      <c r="C81" s="62" t="s">
        <v>118</v>
      </c>
      <c r="D81" s="180">
        <v>-23000</v>
      </c>
      <c r="E81" s="134">
        <v>-5898.3899999999994</v>
      </c>
      <c r="F81" s="135">
        <v>416.66</v>
      </c>
      <c r="G81" s="135">
        <v>-5823.19</v>
      </c>
      <c r="H81" s="135">
        <v>-6058.31</v>
      </c>
      <c r="I81" s="181">
        <f t="shared" si="17"/>
        <v>-17363.23</v>
      </c>
      <c r="J81" s="61">
        <f>I81/D81*100</f>
        <v>75.492304347826092</v>
      </c>
    </row>
    <row r="82" spans="1:10" s="52" customFormat="1" ht="12.75" customHeight="1" x14ac:dyDescent="0.25">
      <c r="A82" s="163" t="s">
        <v>119</v>
      </c>
      <c r="B82" s="178"/>
      <c r="C82" s="179" t="s">
        <v>120</v>
      </c>
      <c r="D82" s="180">
        <v>-8000</v>
      </c>
      <c r="E82" s="134">
        <v>-16786.55</v>
      </c>
      <c r="F82" s="135">
        <v>-17131.5</v>
      </c>
      <c r="G82" s="135">
        <v>-13533.95</v>
      </c>
      <c r="H82" s="135">
        <v>-10916.97</v>
      </c>
      <c r="I82" s="181">
        <f t="shared" si="17"/>
        <v>-58368.97</v>
      </c>
      <c r="J82" s="61">
        <f>I82/D82*100</f>
        <v>729.61212500000011</v>
      </c>
    </row>
    <row r="83" spans="1:10" s="52" customFormat="1" ht="12.75" customHeight="1" x14ac:dyDescent="0.25">
      <c r="A83" s="163" t="s">
        <v>121</v>
      </c>
      <c r="B83" s="178"/>
      <c r="C83" s="179" t="s">
        <v>122</v>
      </c>
      <c r="D83" s="180">
        <v>-50700</v>
      </c>
      <c r="E83" s="134">
        <v>-38508.879999999997</v>
      </c>
      <c r="F83" s="135">
        <v>-1452.9899999999998</v>
      </c>
      <c r="G83" s="135">
        <v>-5307.99</v>
      </c>
      <c r="H83" s="135">
        <v>-4427.45</v>
      </c>
      <c r="I83" s="181">
        <f t="shared" si="17"/>
        <v>-49697.30999999999</v>
      </c>
      <c r="J83" s="61">
        <f>I83/D83*100</f>
        <v>98.022307692307677</v>
      </c>
    </row>
    <row r="84" spans="1:10" s="52" customFormat="1" ht="12.75" customHeight="1" x14ac:dyDescent="0.25">
      <c r="A84" s="163" t="s">
        <v>123</v>
      </c>
      <c r="B84" s="178"/>
      <c r="C84" s="179" t="s">
        <v>124</v>
      </c>
      <c r="D84" s="180">
        <v>-30000</v>
      </c>
      <c r="E84" s="134">
        <v>-20496.11</v>
      </c>
      <c r="F84" s="135">
        <v>-6816.09</v>
      </c>
      <c r="G84" s="135">
        <v>-6013.29</v>
      </c>
      <c r="H84" s="135">
        <v>-5353.64</v>
      </c>
      <c r="I84" s="181">
        <f t="shared" si="17"/>
        <v>-38679.129999999997</v>
      </c>
      <c r="J84" s="61">
        <f>IFERROR(I84/D84*100,"0")</f>
        <v>128.93043333333333</v>
      </c>
    </row>
    <row r="85" spans="1:10" s="188" customFormat="1" ht="12.75" customHeight="1" x14ac:dyDescent="0.25">
      <c r="A85" s="93" t="s">
        <v>125</v>
      </c>
      <c r="B85" s="71"/>
      <c r="C85" s="62" t="s">
        <v>126</v>
      </c>
      <c r="D85" s="180">
        <f>-12565-130643</f>
        <v>-143208</v>
      </c>
      <c r="E85" s="134">
        <v>-24177.21</v>
      </c>
      <c r="F85" s="135">
        <v>-14115</v>
      </c>
      <c r="G85" s="135">
        <v>-10586.23</v>
      </c>
      <c r="H85" s="135">
        <v>-15057.97</v>
      </c>
      <c r="I85" s="181">
        <f t="shared" si="17"/>
        <v>-63936.41</v>
      </c>
      <c r="J85" s="61">
        <f>IFERROR(I85/D85*100,"0")</f>
        <v>44.645836824758398</v>
      </c>
    </row>
    <row r="86" spans="1:10" s="52" customFormat="1" ht="12.75" customHeight="1" x14ac:dyDescent="0.25">
      <c r="A86" s="163" t="s">
        <v>127</v>
      </c>
      <c r="B86" s="178"/>
      <c r="C86" s="179" t="s">
        <v>128</v>
      </c>
      <c r="D86" s="72">
        <v>0</v>
      </c>
      <c r="E86" s="139">
        <v>0</v>
      </c>
      <c r="F86" s="140">
        <v>0</v>
      </c>
      <c r="G86" s="140">
        <v>0</v>
      </c>
      <c r="H86" s="140">
        <v>0</v>
      </c>
      <c r="I86" s="189">
        <f t="shared" si="17"/>
        <v>0</v>
      </c>
      <c r="J86" s="61" t="str">
        <f>IFERROR(I86/D86*100,"0")</f>
        <v>0</v>
      </c>
    </row>
    <row r="87" spans="1:10" s="52" customFormat="1" ht="12.75" customHeight="1" x14ac:dyDescent="0.25">
      <c r="A87" s="190">
        <v>10</v>
      </c>
      <c r="B87" s="191" t="s">
        <v>129</v>
      </c>
      <c r="C87" s="192"/>
      <c r="D87" s="193">
        <f t="shared" ref="D87:I87" si="19">SUM(D88:D90)</f>
        <v>0</v>
      </c>
      <c r="E87" s="84">
        <f t="shared" si="19"/>
        <v>0</v>
      </c>
      <c r="F87" s="74">
        <f t="shared" si="19"/>
        <v>0</v>
      </c>
      <c r="G87" s="74">
        <f t="shared" si="19"/>
        <v>0</v>
      </c>
      <c r="H87" s="142">
        <f t="shared" si="19"/>
        <v>0</v>
      </c>
      <c r="I87" s="194">
        <f t="shared" si="19"/>
        <v>0</v>
      </c>
      <c r="J87" s="61" t="str">
        <f>IFERROR(I87/D87*100,"0")</f>
        <v>0</v>
      </c>
    </row>
    <row r="88" spans="1:10" s="52" customFormat="1" ht="12.75" customHeight="1" x14ac:dyDescent="0.25">
      <c r="A88" s="195" t="s">
        <v>130</v>
      </c>
      <c r="B88" s="196"/>
      <c r="C88" s="197" t="s">
        <v>131</v>
      </c>
      <c r="D88" s="72">
        <v>0</v>
      </c>
      <c r="E88" s="139">
        <v>0</v>
      </c>
      <c r="F88" s="140">
        <v>0</v>
      </c>
      <c r="G88" s="140">
        <v>0</v>
      </c>
      <c r="H88" s="140">
        <v>0</v>
      </c>
      <c r="I88" s="189">
        <f>SUM(E88:H88)</f>
        <v>0</v>
      </c>
      <c r="J88" s="61" t="str">
        <f t="shared" ref="J88:J90" si="20">IFERROR(I88/D88*100,"0")</f>
        <v>0</v>
      </c>
    </row>
    <row r="89" spans="1:10" s="52" customFormat="1" ht="12.75" customHeight="1" x14ac:dyDescent="0.25">
      <c r="A89" s="195" t="s">
        <v>132</v>
      </c>
      <c r="B89" s="196"/>
      <c r="C89" s="198" t="s">
        <v>133</v>
      </c>
      <c r="D89" s="199">
        <v>0</v>
      </c>
      <c r="E89" s="139">
        <v>0</v>
      </c>
      <c r="F89" s="140">
        <v>0</v>
      </c>
      <c r="G89" s="140">
        <v>0</v>
      </c>
      <c r="H89" s="140">
        <v>0</v>
      </c>
      <c r="I89" s="189">
        <f>SUM(E89:H89)</f>
        <v>0</v>
      </c>
      <c r="J89" s="61" t="str">
        <f>IFERROR(I89/D89*100,"0")</f>
        <v>0</v>
      </c>
    </row>
    <row r="90" spans="1:10" s="52" customFormat="1" ht="12.75" customHeight="1" x14ac:dyDescent="0.25">
      <c r="A90" s="195" t="s">
        <v>134</v>
      </c>
      <c r="B90" s="196"/>
      <c r="C90" s="197" t="s">
        <v>135</v>
      </c>
      <c r="D90" s="72"/>
      <c r="E90" s="139">
        <v>0</v>
      </c>
      <c r="F90" s="140">
        <v>0</v>
      </c>
      <c r="G90" s="140">
        <v>0</v>
      </c>
      <c r="H90" s="140">
        <v>0</v>
      </c>
      <c r="I90" s="189">
        <f>SUM(E90:H90)</f>
        <v>0</v>
      </c>
      <c r="J90" s="61" t="str">
        <f t="shared" si="20"/>
        <v>0</v>
      </c>
    </row>
    <row r="91" spans="1:10" s="52" customFormat="1" ht="12.75" customHeight="1" x14ac:dyDescent="0.25">
      <c r="A91" s="44">
        <v>11</v>
      </c>
      <c r="B91" s="200" t="s">
        <v>136</v>
      </c>
      <c r="C91" s="201"/>
      <c r="D91" s="173">
        <f t="shared" ref="D91:H91" si="21">SUM(D92:D96)</f>
        <v>-2376960.41</v>
      </c>
      <c r="E91" s="174">
        <f t="shared" si="21"/>
        <v>-575026.2100000002</v>
      </c>
      <c r="F91" s="202">
        <f t="shared" si="21"/>
        <v>-675698.07</v>
      </c>
      <c r="G91" s="202">
        <f t="shared" si="21"/>
        <v>-484822.36</v>
      </c>
      <c r="H91" s="202">
        <f t="shared" si="21"/>
        <v>-444735.9</v>
      </c>
      <c r="I91" s="176">
        <f>SUM(I92:I96)</f>
        <v>-2180282.5400000005</v>
      </c>
      <c r="J91" s="61">
        <f>I91/D91*100</f>
        <v>91.725656465603507</v>
      </c>
    </row>
    <row r="92" spans="1:10" s="52" customFormat="1" ht="27" customHeight="1" x14ac:dyDescent="0.25">
      <c r="A92" s="203" t="s">
        <v>137</v>
      </c>
      <c r="B92" s="71"/>
      <c r="C92" s="62" t="s">
        <v>138</v>
      </c>
      <c r="D92" s="180">
        <f>-1180168.07</f>
        <v>-1180168.07</v>
      </c>
      <c r="E92" s="134">
        <v>-534300.03000000014</v>
      </c>
      <c r="F92" s="135">
        <v>-626706.64</v>
      </c>
      <c r="G92" s="135">
        <v>-379877.86</v>
      </c>
      <c r="H92" s="135">
        <v>-397778.51</v>
      </c>
      <c r="I92" s="181">
        <f>SUM(E92:H92)</f>
        <v>-1938663.0400000003</v>
      </c>
      <c r="J92" s="61">
        <f>I92/D92*100</f>
        <v>164.27008061656846</v>
      </c>
    </row>
    <row r="93" spans="1:10" s="52" customFormat="1" ht="12.75" customHeight="1" x14ac:dyDescent="0.25">
      <c r="A93" s="204" t="s">
        <v>139</v>
      </c>
      <c r="B93" s="178"/>
      <c r="C93" s="179" t="s">
        <v>140</v>
      </c>
      <c r="D93" s="180">
        <v>-75000</v>
      </c>
      <c r="E93" s="134">
        <v>-17218.400000000001</v>
      </c>
      <c r="F93" s="135">
        <v>-17536.73</v>
      </c>
      <c r="G93" s="135">
        <v>-80227.569999999992</v>
      </c>
      <c r="H93" s="135">
        <v>-31899.379999999997</v>
      </c>
      <c r="I93" s="181">
        <f>SUM(E93:H93)</f>
        <v>-146882.07999999999</v>
      </c>
      <c r="J93" s="61">
        <f>I93/D93*100</f>
        <v>195.8427733333333</v>
      </c>
    </row>
    <row r="94" spans="1:10" s="52" customFormat="1" ht="12.75" customHeight="1" x14ac:dyDescent="0.25">
      <c r="A94" s="204" t="s">
        <v>141</v>
      </c>
      <c r="B94" s="178"/>
      <c r="C94" s="179" t="s">
        <v>142</v>
      </c>
      <c r="D94" s="72">
        <v>0</v>
      </c>
      <c r="E94" s="139">
        <v>0</v>
      </c>
      <c r="F94" s="135">
        <v>0</v>
      </c>
      <c r="G94" s="135">
        <v>0</v>
      </c>
      <c r="H94" s="135">
        <v>0</v>
      </c>
      <c r="I94" s="189">
        <f>SUM(E94:H94)</f>
        <v>0</v>
      </c>
      <c r="J94" s="61" t="str">
        <f>IFERROR(I94/D94*100,"0")</f>
        <v>0</v>
      </c>
    </row>
    <row r="95" spans="1:10" s="52" customFormat="1" ht="12.75" customHeight="1" x14ac:dyDescent="0.25">
      <c r="A95" s="204" t="s">
        <v>143</v>
      </c>
      <c r="B95" s="178"/>
      <c r="C95" s="179" t="s">
        <v>144</v>
      </c>
      <c r="D95" s="180">
        <v>-121792.34</v>
      </c>
      <c r="E95" s="134">
        <v>-23507.78</v>
      </c>
      <c r="F95" s="135">
        <v>-31454.699999999997</v>
      </c>
      <c r="G95" s="135">
        <v>-24716.93</v>
      </c>
      <c r="H95" s="135">
        <v>-15058.01</v>
      </c>
      <c r="I95" s="181">
        <f>SUM(E95:H95)</f>
        <v>-94737.42</v>
      </c>
      <c r="J95" s="61">
        <f>I95/D95*100</f>
        <v>77.786024966758987</v>
      </c>
    </row>
    <row r="96" spans="1:10" s="52" customFormat="1" ht="25.5" x14ac:dyDescent="0.25">
      <c r="A96" s="204" t="s">
        <v>145</v>
      </c>
      <c r="B96" s="178"/>
      <c r="C96" s="179" t="s">
        <v>146</v>
      </c>
      <c r="D96" s="180">
        <v>-1000000</v>
      </c>
      <c r="E96" s="139">
        <v>0</v>
      </c>
      <c r="F96" s="140">
        <v>0</v>
      </c>
      <c r="G96" s="140">
        <v>0</v>
      </c>
      <c r="H96" s="140">
        <v>0</v>
      </c>
      <c r="I96" s="189">
        <f>SUM(E96:H96)</f>
        <v>0</v>
      </c>
      <c r="J96" s="61">
        <f>IFERROR(I96/D96*100,"0")</f>
        <v>0</v>
      </c>
    </row>
    <row r="97" spans="1:10" s="52" customFormat="1" ht="3.4" customHeight="1" x14ac:dyDescent="0.25">
      <c r="A97" s="205"/>
      <c r="B97" s="172"/>
      <c r="C97" s="172"/>
      <c r="D97" s="206"/>
      <c r="E97" s="207"/>
      <c r="F97" s="207"/>
      <c r="G97" s="207"/>
      <c r="H97" s="207"/>
      <c r="I97" s="208"/>
      <c r="J97" s="88"/>
    </row>
    <row r="98" spans="1:10" s="52" customFormat="1" ht="18" customHeight="1" x14ac:dyDescent="0.25">
      <c r="A98" s="44">
        <v>12</v>
      </c>
      <c r="B98" s="209" t="s">
        <v>147</v>
      </c>
      <c r="C98" s="209"/>
      <c r="D98" s="173">
        <f>D99+D104+D109+D114+D118+D128</f>
        <v>-690594</v>
      </c>
      <c r="E98" s="210">
        <f>E99+E104+E109+E114+E118+E128</f>
        <v>-143101.81</v>
      </c>
      <c r="F98" s="175">
        <f>F99+F104+F109+F114+F118+F128</f>
        <v>-156216.31999999998</v>
      </c>
      <c r="G98" s="210">
        <f>G99+G104+G109+G114+G118+G128</f>
        <v>-126803.96999999999</v>
      </c>
      <c r="H98" s="211">
        <f>H99+H104+H109+H114+H118+H128</f>
        <v>-291596.38</v>
      </c>
      <c r="I98" s="176">
        <f>I99+I104+I109+I114+I128+I118</f>
        <v>-717718.48</v>
      </c>
      <c r="J98" s="61">
        <f>I98/D98*100</f>
        <v>103.92770281815365</v>
      </c>
    </row>
    <row r="99" spans="1:10" s="52" customFormat="1" ht="12.75" customHeight="1" x14ac:dyDescent="0.25">
      <c r="A99" s="44" t="s">
        <v>148</v>
      </c>
      <c r="B99" s="200" t="s">
        <v>149</v>
      </c>
      <c r="C99" s="212"/>
      <c r="D99" s="173">
        <f t="shared" ref="D99:I99" si="22">SUM(D100:D103)</f>
        <v>-414508</v>
      </c>
      <c r="E99" s="210">
        <f t="shared" si="22"/>
        <v>-94434.01</v>
      </c>
      <c r="F99" s="210">
        <f t="shared" si="22"/>
        <v>-115653.90999999999</v>
      </c>
      <c r="G99" s="210">
        <f t="shared" si="22"/>
        <v>-89493.299999999988</v>
      </c>
      <c r="H99" s="210">
        <f t="shared" si="22"/>
        <v>-147903.18999999997</v>
      </c>
      <c r="I99" s="176">
        <f t="shared" si="22"/>
        <v>-447484.40999999992</v>
      </c>
      <c r="J99" s="61">
        <f>I99/D99*100</f>
        <v>107.95555453694499</v>
      </c>
    </row>
    <row r="100" spans="1:10" s="52" customFormat="1" ht="12.75" customHeight="1" x14ac:dyDescent="0.25">
      <c r="A100" s="163" t="s">
        <v>150</v>
      </c>
      <c r="B100" s="213"/>
      <c r="C100" s="197" t="s">
        <v>151</v>
      </c>
      <c r="D100" s="180">
        <v>0</v>
      </c>
      <c r="E100" s="134">
        <v>0</v>
      </c>
      <c r="F100" s="135">
        <v>0</v>
      </c>
      <c r="G100" s="135">
        <v>0</v>
      </c>
      <c r="H100" s="135">
        <v>0</v>
      </c>
      <c r="I100" s="181">
        <f>SUM(E100:H100)</f>
        <v>0</v>
      </c>
      <c r="J100" s="61" t="str">
        <f>IFERROR(I100/D100*100,"0")</f>
        <v>0</v>
      </c>
    </row>
    <row r="101" spans="1:10" s="52" customFormat="1" ht="12.75" customHeight="1" x14ac:dyDescent="0.25">
      <c r="A101" s="163" t="s">
        <v>152</v>
      </c>
      <c r="B101" s="213"/>
      <c r="C101" s="197" t="s">
        <v>153</v>
      </c>
      <c r="D101" s="180">
        <v>0</v>
      </c>
      <c r="E101" s="134">
        <v>0</v>
      </c>
      <c r="F101" s="135">
        <v>0</v>
      </c>
      <c r="G101" s="135">
        <v>0</v>
      </c>
      <c r="H101" s="135">
        <v>0</v>
      </c>
      <c r="I101" s="181">
        <f>SUM(E101:H101)</f>
        <v>0</v>
      </c>
      <c r="J101" s="61" t="str">
        <f>IFERROR(I101/D101*100,"0")</f>
        <v>0</v>
      </c>
    </row>
    <row r="102" spans="1:10" s="52" customFormat="1" ht="12.75" customHeight="1" x14ac:dyDescent="0.25">
      <c r="A102" s="163" t="s">
        <v>154</v>
      </c>
      <c r="B102" s="213"/>
      <c r="C102" s="197" t="s">
        <v>155</v>
      </c>
      <c r="D102" s="180">
        <v>-414508</v>
      </c>
      <c r="E102" s="134">
        <v>-94434.01</v>
      </c>
      <c r="F102" s="135">
        <v>-115653.90999999999</v>
      </c>
      <c r="G102" s="135">
        <v>-89493.299999999988</v>
      </c>
      <c r="H102" s="135">
        <v>-147903.18999999997</v>
      </c>
      <c r="I102" s="181">
        <f>SUM(E102:H102)</f>
        <v>-447484.40999999992</v>
      </c>
      <c r="J102" s="61">
        <f>I102/D102*100</f>
        <v>107.95555453694499</v>
      </c>
    </row>
    <row r="103" spans="1:10" s="52" customFormat="1" ht="12.75" customHeight="1" x14ac:dyDescent="0.25">
      <c r="A103" s="163" t="s">
        <v>156</v>
      </c>
      <c r="B103" s="213"/>
      <c r="C103" s="197" t="s">
        <v>135</v>
      </c>
      <c r="D103" s="133">
        <v>0</v>
      </c>
      <c r="E103" s="134">
        <v>0</v>
      </c>
      <c r="F103" s="135">
        <v>0</v>
      </c>
      <c r="G103" s="135">
        <v>0</v>
      </c>
      <c r="H103" s="135">
        <v>0</v>
      </c>
      <c r="I103" s="181">
        <f>SUM(E103:H103)</f>
        <v>0</v>
      </c>
      <c r="J103" s="61" t="str">
        <f>IFERROR(I103/D103*100,"0")</f>
        <v>0</v>
      </c>
    </row>
    <row r="104" spans="1:10" s="52" customFormat="1" ht="12.75" customHeight="1" x14ac:dyDescent="0.25">
      <c r="A104" s="214" t="s">
        <v>157</v>
      </c>
      <c r="B104" s="200" t="s">
        <v>158</v>
      </c>
      <c r="C104" s="212"/>
      <c r="D104" s="173">
        <f t="shared" ref="D104:I104" si="23">SUM(D105:D108)</f>
        <v>-67000</v>
      </c>
      <c r="E104" s="175">
        <f t="shared" si="23"/>
        <v>-4643.33</v>
      </c>
      <c r="F104" s="175">
        <f t="shared" si="23"/>
        <v>-19657.23</v>
      </c>
      <c r="G104" s="175">
        <f t="shared" si="23"/>
        <v>-1313.23</v>
      </c>
      <c r="H104" s="175">
        <f t="shared" si="23"/>
        <v>-53377.560000000005</v>
      </c>
      <c r="I104" s="176">
        <f t="shared" si="23"/>
        <v>-78991.350000000006</v>
      </c>
      <c r="J104" s="61">
        <f>I104/D104*100</f>
        <v>117.89753731343285</v>
      </c>
    </row>
    <row r="105" spans="1:10" s="52" customFormat="1" ht="12.75" customHeight="1" x14ac:dyDescent="0.25">
      <c r="A105" s="195" t="s">
        <v>159</v>
      </c>
      <c r="B105" s="215"/>
      <c r="C105" s="197" t="s">
        <v>160</v>
      </c>
      <c r="D105" s="180">
        <v>0</v>
      </c>
      <c r="E105" s="134">
        <v>0</v>
      </c>
      <c r="F105" s="135">
        <v>0</v>
      </c>
      <c r="G105" s="135">
        <v>0</v>
      </c>
      <c r="H105" s="135">
        <v>0</v>
      </c>
      <c r="I105" s="181">
        <f>SUM(E105:H105)</f>
        <v>0</v>
      </c>
      <c r="J105" s="61" t="str">
        <f>IFERROR(I105/D105*100,"0")</f>
        <v>0</v>
      </c>
    </row>
    <row r="106" spans="1:10" s="52" customFormat="1" ht="12.75" customHeight="1" x14ac:dyDescent="0.25">
      <c r="A106" s="216" t="s">
        <v>161</v>
      </c>
      <c r="B106" s="215"/>
      <c r="C106" s="198" t="s">
        <v>162</v>
      </c>
      <c r="D106" s="180">
        <f>-67000</f>
        <v>-67000</v>
      </c>
      <c r="E106" s="134">
        <v>-4643.33</v>
      </c>
      <c r="F106" s="135">
        <v>-19657.23</v>
      </c>
      <c r="G106" s="135">
        <v>-1313.23</v>
      </c>
      <c r="H106" s="135">
        <v>-53377.560000000005</v>
      </c>
      <c r="I106" s="181">
        <f>SUM(E106:H106)</f>
        <v>-78991.350000000006</v>
      </c>
      <c r="J106" s="61">
        <f>IFERROR(I106/D106*100,"0")</f>
        <v>117.89753731343285</v>
      </c>
    </row>
    <row r="107" spans="1:10" s="52" customFormat="1" x14ac:dyDescent="0.25">
      <c r="A107" s="195" t="s">
        <v>163</v>
      </c>
      <c r="B107" s="217"/>
      <c r="C107" s="197" t="s">
        <v>164</v>
      </c>
      <c r="D107" s="180">
        <v>0</v>
      </c>
      <c r="E107" s="134">
        <v>0</v>
      </c>
      <c r="F107" s="135">
        <v>0</v>
      </c>
      <c r="G107" s="135">
        <v>0</v>
      </c>
      <c r="H107" s="135">
        <v>0</v>
      </c>
      <c r="I107" s="181">
        <f>SUM(E107:H107)</f>
        <v>0</v>
      </c>
      <c r="J107" s="61" t="str">
        <f>IFERROR(I107/D107*100,"0")</f>
        <v>0</v>
      </c>
    </row>
    <row r="108" spans="1:10" s="52" customFormat="1" ht="12.75" customHeight="1" x14ac:dyDescent="0.25">
      <c r="A108" s="195" t="s">
        <v>165</v>
      </c>
      <c r="B108" s="215"/>
      <c r="C108" s="197" t="s">
        <v>135</v>
      </c>
      <c r="D108" s="180">
        <v>0</v>
      </c>
      <c r="E108" s="134">
        <v>0</v>
      </c>
      <c r="F108" s="135">
        <v>0</v>
      </c>
      <c r="G108" s="135">
        <v>0</v>
      </c>
      <c r="H108" s="135">
        <v>0</v>
      </c>
      <c r="I108" s="181">
        <f>SUM(E108:H108)</f>
        <v>0</v>
      </c>
      <c r="J108" s="61" t="str">
        <f>IFERROR(I108/D108*100,"0")</f>
        <v>0</v>
      </c>
    </row>
    <row r="109" spans="1:10" s="52" customFormat="1" ht="12.75" customHeight="1" x14ac:dyDescent="0.25">
      <c r="A109" s="214" t="s">
        <v>166</v>
      </c>
      <c r="B109" s="191" t="s">
        <v>167</v>
      </c>
      <c r="C109" s="192"/>
      <c r="D109" s="173">
        <f>SUM(D110:D117)</f>
        <v>-91207</v>
      </c>
      <c r="E109" s="175">
        <f>SUM(E110:E117)</f>
        <v>-16720.580000000002</v>
      </c>
      <c r="F109" s="175">
        <f>SUM(F110:F117)</f>
        <v>-229.22</v>
      </c>
      <c r="G109" s="175">
        <f>SUM(G110:G113)</f>
        <v>-4920</v>
      </c>
      <c r="H109" s="175">
        <f t="shared" ref="H109" si="24">SUM(H110:H112)</f>
        <v>-27771.47</v>
      </c>
      <c r="I109" s="176">
        <f>SUM(I110:I113)</f>
        <v>-49641.270000000004</v>
      </c>
      <c r="J109" s="61">
        <f>I109/D109*100</f>
        <v>54.427039591259451</v>
      </c>
    </row>
    <row r="110" spans="1:10" s="52" customFormat="1" ht="12.75" customHeight="1" x14ac:dyDescent="0.25">
      <c r="A110" s="195" t="s">
        <v>168</v>
      </c>
      <c r="B110" s="196"/>
      <c r="C110" s="197" t="s">
        <v>169</v>
      </c>
      <c r="D110" s="180">
        <f>-27422.85-3000</f>
        <v>-30422.85</v>
      </c>
      <c r="E110" s="134">
        <v>-10730.79</v>
      </c>
      <c r="F110" s="135">
        <v>-229.22</v>
      </c>
      <c r="G110" s="135">
        <v>-4500</v>
      </c>
      <c r="H110" s="135">
        <v>-3800.57</v>
      </c>
      <c r="I110" s="181">
        <f>SUM(E110:H110)</f>
        <v>-19260.580000000002</v>
      </c>
      <c r="J110" s="61">
        <f>IFERROR(I110/D110*100,"0")</f>
        <v>63.309584736472758</v>
      </c>
    </row>
    <row r="111" spans="1:10" s="52" customFormat="1" x14ac:dyDescent="0.25">
      <c r="A111" s="195" t="s">
        <v>170</v>
      </c>
      <c r="B111" s="196"/>
      <c r="C111" s="197" t="s">
        <v>171</v>
      </c>
      <c r="D111" s="180">
        <f>-53284.15-7500</f>
        <v>-60784.15</v>
      </c>
      <c r="E111" s="134">
        <v>-5989.79</v>
      </c>
      <c r="F111" s="135">
        <v>0</v>
      </c>
      <c r="G111" s="135">
        <v>-420</v>
      </c>
      <c r="H111" s="135">
        <v>-23970.9</v>
      </c>
      <c r="I111" s="181">
        <f>SUM(E111:H111)</f>
        <v>-30380.690000000002</v>
      </c>
      <c r="J111" s="61">
        <f>I111/D111*100</f>
        <v>49.981269788258949</v>
      </c>
    </row>
    <row r="112" spans="1:10" s="52" customFormat="1" ht="12.75" customHeight="1" x14ac:dyDescent="0.25">
      <c r="A112" s="195" t="s">
        <v>172</v>
      </c>
      <c r="B112" s="196"/>
      <c r="C112" s="197" t="s">
        <v>173</v>
      </c>
      <c r="D112" s="218">
        <v>0</v>
      </c>
      <c r="E112" s="219">
        <v>0</v>
      </c>
      <c r="F112" s="187">
        <v>0</v>
      </c>
      <c r="G112" s="187">
        <v>0</v>
      </c>
      <c r="H112" s="187">
        <v>0</v>
      </c>
      <c r="I112" s="181">
        <f>SUM(E112:H112)</f>
        <v>0</v>
      </c>
      <c r="J112" s="61" t="str">
        <f>IFERROR(I112/D112*100,"0")</f>
        <v>0</v>
      </c>
    </row>
    <row r="113" spans="1:10" s="52" customFormat="1" ht="12.75" customHeight="1" x14ac:dyDescent="0.25">
      <c r="A113" s="195" t="s">
        <v>174</v>
      </c>
      <c r="B113" s="196"/>
      <c r="C113" s="198" t="s">
        <v>175</v>
      </c>
      <c r="D113" s="218">
        <v>0</v>
      </c>
      <c r="E113" s="219">
        <v>0</v>
      </c>
      <c r="F113" s="187">
        <v>0</v>
      </c>
      <c r="G113" s="187">
        <v>0</v>
      </c>
      <c r="H113" s="187">
        <v>0</v>
      </c>
      <c r="I113" s="181">
        <f>SUM(E113:H113)</f>
        <v>0</v>
      </c>
      <c r="J113" s="61" t="str">
        <f>IFERROR(I113/D113*100,"0")</f>
        <v>0</v>
      </c>
    </row>
    <row r="114" spans="1:10" s="52" customFormat="1" ht="12.75" customHeight="1" x14ac:dyDescent="0.25">
      <c r="A114" s="214" t="s">
        <v>176</v>
      </c>
      <c r="B114" s="184" t="s">
        <v>177</v>
      </c>
      <c r="C114" s="220"/>
      <c r="D114" s="221">
        <v>0</v>
      </c>
      <c r="E114" s="222">
        <f t="shared" ref="E114:G114" si="25">E115</f>
        <v>0</v>
      </c>
      <c r="F114" s="202">
        <f t="shared" si="25"/>
        <v>0</v>
      </c>
      <c r="G114" s="202">
        <f t="shared" si="25"/>
        <v>0</v>
      </c>
      <c r="H114" s="223">
        <f>H115</f>
        <v>0</v>
      </c>
      <c r="I114" s="176">
        <f>I115</f>
        <v>0</v>
      </c>
      <c r="J114" s="61" t="str">
        <f>IFERROR(I114/D114*100,"0")</f>
        <v>0</v>
      </c>
    </row>
    <row r="115" spans="1:10" s="52" customFormat="1" x14ac:dyDescent="0.25">
      <c r="A115" s="195" t="s">
        <v>178</v>
      </c>
      <c r="B115" s="196"/>
      <c r="C115" s="197" t="s">
        <v>179</v>
      </c>
      <c r="D115" s="218">
        <v>0</v>
      </c>
      <c r="E115" s="219">
        <v>0</v>
      </c>
      <c r="F115" s="187">
        <v>0</v>
      </c>
      <c r="G115" s="187">
        <v>0</v>
      </c>
      <c r="H115" s="187">
        <v>0</v>
      </c>
      <c r="I115" s="181">
        <f>SUM(E115:H115)</f>
        <v>0</v>
      </c>
      <c r="J115" s="61" t="str">
        <f>IFERROR(I115/D115*100,"0")</f>
        <v>0</v>
      </c>
    </row>
    <row r="116" spans="1:10" s="52" customFormat="1" x14ac:dyDescent="0.25">
      <c r="A116" s="195" t="s">
        <v>180</v>
      </c>
      <c r="B116" s="196"/>
      <c r="C116" s="197" t="s">
        <v>181</v>
      </c>
      <c r="D116" s="218">
        <v>0</v>
      </c>
      <c r="E116" s="219">
        <v>0</v>
      </c>
      <c r="F116" s="187">
        <v>0</v>
      </c>
      <c r="G116" s="187">
        <v>0</v>
      </c>
      <c r="H116" s="187">
        <v>0</v>
      </c>
      <c r="I116" s="181">
        <f>SUM(E116:H116)</f>
        <v>0</v>
      </c>
      <c r="J116" s="61" t="str">
        <f t="shared" ref="J116:J117" si="26">IFERROR(I116/D116*100,"0")</f>
        <v>0</v>
      </c>
    </row>
    <row r="117" spans="1:10" s="52" customFormat="1" x14ac:dyDescent="0.25">
      <c r="A117" s="195" t="s">
        <v>182</v>
      </c>
      <c r="B117" s="196"/>
      <c r="C117" s="197" t="s">
        <v>183</v>
      </c>
      <c r="D117" s="218"/>
      <c r="E117" s="219">
        <v>0</v>
      </c>
      <c r="F117" s="187">
        <v>0</v>
      </c>
      <c r="G117" s="187">
        <v>0</v>
      </c>
      <c r="H117" s="187">
        <v>0</v>
      </c>
      <c r="I117" s="181">
        <f>SUM(E117:H117)</f>
        <v>0</v>
      </c>
      <c r="J117" s="61" t="str">
        <f t="shared" si="26"/>
        <v>0</v>
      </c>
    </row>
    <row r="118" spans="1:10" s="52" customFormat="1" ht="12.75" customHeight="1" x14ac:dyDescent="0.25">
      <c r="A118" s="214" t="s">
        <v>184</v>
      </c>
      <c r="B118" s="191" t="s">
        <v>185</v>
      </c>
      <c r="C118" s="192"/>
      <c r="D118" s="173">
        <f>SUM(D119:D127)</f>
        <v>-117879</v>
      </c>
      <c r="E118" s="210">
        <f>SUM(E119:E127)</f>
        <v>-27303.89</v>
      </c>
      <c r="F118" s="210">
        <f t="shared" ref="F118:H118" si="27">SUM(F119:F127)</f>
        <v>-20675.96</v>
      </c>
      <c r="G118" s="210">
        <f t="shared" si="27"/>
        <v>-31077.439999999999</v>
      </c>
      <c r="H118" s="210">
        <f t="shared" si="27"/>
        <v>-62544.160000000003</v>
      </c>
      <c r="I118" s="176">
        <f>SUM(I119:I127)</f>
        <v>-141601.45000000001</v>
      </c>
      <c r="J118" s="61">
        <f>I118/D118*100</f>
        <v>120.12440723114382</v>
      </c>
    </row>
    <row r="119" spans="1:10" s="52" customFormat="1" ht="12.75" customHeight="1" x14ac:dyDescent="0.25">
      <c r="A119" s="195" t="s">
        <v>186</v>
      </c>
      <c r="B119" s="196"/>
      <c r="C119" s="197" t="s">
        <v>187</v>
      </c>
      <c r="D119" s="180">
        <v>-15000</v>
      </c>
      <c r="E119" s="134">
        <v>-11500.8</v>
      </c>
      <c r="F119" s="135">
        <v>0</v>
      </c>
      <c r="G119" s="135">
        <v>-2500</v>
      </c>
      <c r="H119" s="135">
        <v>-7413.35</v>
      </c>
      <c r="I119" s="181">
        <f t="shared" ref="I119:I127" si="28">SUM(E119:H119)</f>
        <v>-21414.15</v>
      </c>
      <c r="J119" s="61">
        <f>I119/D119*100</f>
        <v>142.761</v>
      </c>
    </row>
    <row r="120" spans="1:10" s="52" customFormat="1" ht="12.75" customHeight="1" x14ac:dyDescent="0.25">
      <c r="A120" s="195" t="s">
        <v>188</v>
      </c>
      <c r="B120" s="196"/>
      <c r="C120" s="197" t="s">
        <v>189</v>
      </c>
      <c r="D120" s="180">
        <v>-7879</v>
      </c>
      <c r="E120" s="134">
        <v>-2400</v>
      </c>
      <c r="F120" s="135">
        <v>-1264.6199999999999</v>
      </c>
      <c r="G120" s="135">
        <v>-1881.59</v>
      </c>
      <c r="H120" s="135">
        <v>-4636.93</v>
      </c>
      <c r="I120" s="181">
        <f t="shared" si="28"/>
        <v>-10183.14</v>
      </c>
      <c r="J120" s="61">
        <f>IFERROR(I120/D120*100,"0")</f>
        <v>129.24406650590177</v>
      </c>
    </row>
    <row r="121" spans="1:10" s="52" customFormat="1" ht="12.75" customHeight="1" x14ac:dyDescent="0.25">
      <c r="A121" s="216" t="s">
        <v>190</v>
      </c>
      <c r="B121" s="224"/>
      <c r="C121" s="198" t="s">
        <v>191</v>
      </c>
      <c r="D121" s="180">
        <v>-10000</v>
      </c>
      <c r="E121" s="134">
        <v>-637.45000000000005</v>
      </c>
      <c r="F121" s="135">
        <v>-912</v>
      </c>
      <c r="G121" s="135">
        <v>0</v>
      </c>
      <c r="H121" s="135">
        <v>-855.2</v>
      </c>
      <c r="I121" s="181">
        <f t="shared" si="28"/>
        <v>-2404.65</v>
      </c>
      <c r="J121" s="61">
        <f>IFERROR(I121/D121*100,"0")</f>
        <v>24.046500000000002</v>
      </c>
    </row>
    <row r="122" spans="1:10" s="52" customFormat="1" ht="12.75" customHeight="1" x14ac:dyDescent="0.25">
      <c r="A122" s="216" t="s">
        <v>192</v>
      </c>
      <c r="B122" s="224"/>
      <c r="C122" s="198" t="s">
        <v>193</v>
      </c>
      <c r="D122" s="180">
        <v>0</v>
      </c>
      <c r="E122" s="134">
        <v>0</v>
      </c>
      <c r="F122" s="135">
        <v>-10904.7</v>
      </c>
      <c r="G122" s="135">
        <v>0</v>
      </c>
      <c r="H122" s="135">
        <v>-7759.37</v>
      </c>
      <c r="I122" s="181">
        <f t="shared" si="28"/>
        <v>-18664.07</v>
      </c>
      <c r="J122" s="61" t="str">
        <f t="shared" ref="J122:J127" si="29">IFERROR(I122/D122*100,"0")</f>
        <v>0</v>
      </c>
    </row>
    <row r="123" spans="1:10" s="52" customFormat="1" ht="12.75" customHeight="1" x14ac:dyDescent="0.25">
      <c r="A123" s="195" t="s">
        <v>194</v>
      </c>
      <c r="B123" s="196"/>
      <c r="C123" s="197" t="s">
        <v>195</v>
      </c>
      <c r="D123" s="180">
        <v>-20000</v>
      </c>
      <c r="E123" s="134">
        <v>-3997.72</v>
      </c>
      <c r="F123" s="135">
        <v>-240</v>
      </c>
      <c r="G123" s="135">
        <v>-18047.849999999999</v>
      </c>
      <c r="H123" s="135">
        <v>-23397.77</v>
      </c>
      <c r="I123" s="181">
        <f t="shared" si="28"/>
        <v>-45683.34</v>
      </c>
      <c r="J123" s="61">
        <f t="shared" si="29"/>
        <v>228.41669999999996</v>
      </c>
    </row>
    <row r="124" spans="1:10" s="52" customFormat="1" ht="12.75" customHeight="1" x14ac:dyDescent="0.25">
      <c r="A124" s="195" t="s">
        <v>196</v>
      </c>
      <c r="B124" s="196"/>
      <c r="C124" s="197" t="s">
        <v>197</v>
      </c>
      <c r="D124" s="180">
        <v>-15000</v>
      </c>
      <c r="E124" s="134">
        <v>0</v>
      </c>
      <c r="F124" s="135">
        <v>0</v>
      </c>
      <c r="G124" s="135">
        <v>-2000</v>
      </c>
      <c r="H124" s="135">
        <v>-6600</v>
      </c>
      <c r="I124" s="181">
        <f t="shared" si="28"/>
        <v>-8600</v>
      </c>
      <c r="J124" s="61">
        <f t="shared" si="29"/>
        <v>57.333333333333336</v>
      </c>
    </row>
    <row r="125" spans="1:10" s="52" customFormat="1" ht="12.75" customHeight="1" x14ac:dyDescent="0.25">
      <c r="A125" s="195" t="s">
        <v>198</v>
      </c>
      <c r="B125" s="196"/>
      <c r="C125" s="197" t="s">
        <v>199</v>
      </c>
      <c r="D125" s="180">
        <v>-30000</v>
      </c>
      <c r="E125" s="134">
        <v>-6648</v>
      </c>
      <c r="F125" s="135">
        <v>-6648</v>
      </c>
      <c r="G125" s="135">
        <v>-6648</v>
      </c>
      <c r="H125" s="135">
        <v>-11881.54</v>
      </c>
      <c r="I125" s="181">
        <f t="shared" si="28"/>
        <v>-31825.54</v>
      </c>
      <c r="J125" s="61">
        <f t="shared" si="29"/>
        <v>106.08513333333333</v>
      </c>
    </row>
    <row r="126" spans="1:10" s="52" customFormat="1" ht="12.75" customHeight="1" x14ac:dyDescent="0.25">
      <c r="A126" s="195" t="s">
        <v>200</v>
      </c>
      <c r="B126" s="196"/>
      <c r="C126" s="197" t="s">
        <v>201</v>
      </c>
      <c r="D126" s="180">
        <v>-10000</v>
      </c>
      <c r="E126" s="134">
        <v>0</v>
      </c>
      <c r="F126" s="135">
        <v>0</v>
      </c>
      <c r="G126" s="135">
        <v>0</v>
      </c>
      <c r="H126" s="135">
        <v>0</v>
      </c>
      <c r="I126" s="181">
        <f t="shared" si="28"/>
        <v>0</v>
      </c>
      <c r="J126" s="61">
        <f t="shared" si="29"/>
        <v>0</v>
      </c>
    </row>
    <row r="127" spans="1:10" s="52" customFormat="1" ht="12.75" customHeight="1" x14ac:dyDescent="0.25">
      <c r="A127" s="195" t="s">
        <v>202</v>
      </c>
      <c r="B127" s="196"/>
      <c r="C127" s="197" t="s">
        <v>203</v>
      </c>
      <c r="D127" s="180">
        <v>-10000</v>
      </c>
      <c r="E127" s="134">
        <v>-2119.92</v>
      </c>
      <c r="F127" s="135">
        <v>-706.64</v>
      </c>
      <c r="G127" s="135">
        <v>0</v>
      </c>
      <c r="H127" s="135">
        <v>0</v>
      </c>
      <c r="I127" s="181">
        <f t="shared" si="28"/>
        <v>-2826.56</v>
      </c>
      <c r="J127" s="61">
        <f t="shared" si="29"/>
        <v>28.265600000000003</v>
      </c>
    </row>
    <row r="128" spans="1:10" s="52" customFormat="1" x14ac:dyDescent="0.25">
      <c r="A128" s="214" t="s">
        <v>204</v>
      </c>
      <c r="B128" s="191" t="s">
        <v>205</v>
      </c>
      <c r="C128" s="192"/>
      <c r="D128" s="173">
        <f>SUM(D129:D130)</f>
        <v>0</v>
      </c>
      <c r="E128" s="210">
        <f>SUM(E129:E130)</f>
        <v>0</v>
      </c>
      <c r="F128" s="225">
        <f t="shared" ref="F128:H128" si="30">SUM(F129:F130)</f>
        <v>0</v>
      </c>
      <c r="G128" s="225">
        <f t="shared" si="30"/>
        <v>0</v>
      </c>
      <c r="H128" s="225">
        <f t="shared" si="30"/>
        <v>0</v>
      </c>
      <c r="I128" s="176">
        <f>SUM(I129:I130)</f>
        <v>0</v>
      </c>
      <c r="J128" s="61">
        <v>0</v>
      </c>
    </row>
    <row r="129" spans="1:11" s="52" customFormat="1" x14ac:dyDescent="0.25">
      <c r="A129" s="195" t="s">
        <v>206</v>
      </c>
      <c r="B129" s="196"/>
      <c r="C129" s="197" t="s">
        <v>135</v>
      </c>
      <c r="D129" s="180">
        <v>0</v>
      </c>
      <c r="E129" s="134">
        <v>0</v>
      </c>
      <c r="F129" s="187">
        <v>0</v>
      </c>
      <c r="G129" s="187">
        <v>0</v>
      </c>
      <c r="H129" s="187">
        <v>0</v>
      </c>
      <c r="I129" s="181">
        <f>SUM(E129:H129)</f>
        <v>0</v>
      </c>
      <c r="J129" s="61">
        <v>0</v>
      </c>
    </row>
    <row r="130" spans="1:11" s="52" customFormat="1" x14ac:dyDescent="0.25">
      <c r="A130" s="195" t="s">
        <v>207</v>
      </c>
      <c r="B130" s="196"/>
      <c r="C130" s="197" t="s">
        <v>135</v>
      </c>
      <c r="D130" s="218">
        <v>0</v>
      </c>
      <c r="E130" s="219">
        <v>0</v>
      </c>
      <c r="F130" s="187">
        <v>0</v>
      </c>
      <c r="G130" s="187">
        <v>0</v>
      </c>
      <c r="H130" s="187">
        <v>0</v>
      </c>
      <c r="I130" s="181">
        <f>SUM(E130:H130)</f>
        <v>0</v>
      </c>
      <c r="J130" s="61" t="str">
        <f>IFERROR(I130/D130*100,"0")</f>
        <v>0</v>
      </c>
    </row>
    <row r="131" spans="1:11" s="52" customFormat="1" ht="2.1" customHeight="1" x14ac:dyDescent="0.25">
      <c r="A131" s="163"/>
      <c r="B131" s="178"/>
      <c r="C131" s="179"/>
      <c r="D131" s="218"/>
      <c r="E131" s="226"/>
      <c r="F131" s="222"/>
      <c r="G131" s="222"/>
      <c r="H131" s="222"/>
      <c r="I131" s="176"/>
      <c r="J131" s="227"/>
    </row>
    <row r="132" spans="1:11" s="52" customFormat="1" ht="18" customHeight="1" x14ac:dyDescent="0.25">
      <c r="A132" s="44">
        <v>12</v>
      </c>
      <c r="B132" s="200" t="s">
        <v>208</v>
      </c>
      <c r="C132" s="212"/>
      <c r="D132" s="173">
        <f t="shared" ref="D132:I132" si="31">D47+D61+D71+D87+D91+D98</f>
        <v>-23754896.900000002</v>
      </c>
      <c r="E132" s="210">
        <f>E47+E61+E71+E87+E91+E98</f>
        <v>-5849449.3200000003</v>
      </c>
      <c r="F132" s="202">
        <f>F47+F61+F71+F87+F91+F98</f>
        <v>-5260288.620000001</v>
      </c>
      <c r="G132" s="202">
        <f>G47+G61+G71+G87+G91+G98</f>
        <v>-5154127.9899999993</v>
      </c>
      <c r="H132" s="221">
        <f t="shared" si="31"/>
        <v>-6288658.8900000006</v>
      </c>
      <c r="I132" s="210">
        <f t="shared" si="31"/>
        <v>-22552524.819999997</v>
      </c>
      <c r="J132" s="61">
        <f>I132/D132*100</f>
        <v>94.938424338099296</v>
      </c>
    </row>
    <row r="133" spans="1:11" ht="7.5" customHeight="1" x14ac:dyDescent="0.2">
      <c r="A133" s="228"/>
      <c r="D133" s="229"/>
      <c r="E133" s="229"/>
      <c r="F133" s="229"/>
      <c r="G133" s="222"/>
      <c r="H133" s="222"/>
      <c r="I133" s="222"/>
      <c r="J133" s="230"/>
      <c r="K133" s="5"/>
    </row>
    <row r="134" spans="1:11" s="52" customFormat="1" ht="28.5" customHeight="1" x14ac:dyDescent="0.25">
      <c r="A134" s="190">
        <v>13</v>
      </c>
      <c r="B134" s="231"/>
      <c r="C134" s="232" t="s">
        <v>209</v>
      </c>
      <c r="D134" s="126">
        <v>0</v>
      </c>
      <c r="E134" s="233">
        <f t="shared" ref="E134" si="32">SUM(E135:E138)</f>
        <v>133271.70000000004</v>
      </c>
      <c r="F134" s="234">
        <f>SUM(F135:F138)</f>
        <v>-37709.979999999996</v>
      </c>
      <c r="G134" s="234">
        <f>SUM(G135:G138)</f>
        <v>-30756.35</v>
      </c>
      <c r="H134" s="234">
        <f>SUM(H135:H138)</f>
        <v>228554.04999999996</v>
      </c>
      <c r="I134" s="176">
        <f>SUM(I135:I138)</f>
        <v>293359.42</v>
      </c>
      <c r="J134" s="235" t="str">
        <f>IFERROR(I134/D134*100,"0")</f>
        <v>0</v>
      </c>
    </row>
    <row r="135" spans="1:11" ht="12.75" customHeight="1" x14ac:dyDescent="0.2">
      <c r="A135" s="236" t="s">
        <v>210</v>
      </c>
      <c r="B135" s="237"/>
      <c r="C135" s="62" t="s">
        <v>211</v>
      </c>
      <c r="D135" s="238">
        <v>0</v>
      </c>
      <c r="E135" s="134">
        <v>-25297.86</v>
      </c>
      <c r="F135" s="135">
        <v>-25981.79</v>
      </c>
      <c r="G135" s="135">
        <v>-26561.94</v>
      </c>
      <c r="H135" s="135">
        <v>-26764.28</v>
      </c>
      <c r="I135" s="181">
        <f>SUM(E135:H135)</f>
        <v>-104605.87</v>
      </c>
      <c r="J135" s="235" t="str">
        <f>IFERROR(I135/D135*100,"0")</f>
        <v>0</v>
      </c>
      <c r="K135" s="5"/>
    </row>
    <row r="136" spans="1:11" ht="12.75" customHeight="1" x14ac:dyDescent="0.2">
      <c r="A136" s="236" t="s">
        <v>212</v>
      </c>
      <c r="B136" s="237"/>
      <c r="C136" s="62" t="s">
        <v>213</v>
      </c>
      <c r="D136" s="238">
        <v>0</v>
      </c>
      <c r="E136" s="134">
        <v>209703.32</v>
      </c>
      <c r="F136" s="135">
        <v>-12555.74</v>
      </c>
      <c r="G136" s="135">
        <v>-4806.7200000000012</v>
      </c>
      <c r="H136" s="135">
        <v>388754.39</v>
      </c>
      <c r="I136" s="181">
        <f>SUM(E136:H136)</f>
        <v>581095.25</v>
      </c>
      <c r="J136" s="235" t="str">
        <f>IFERROR(I136/D136*100,"0")</f>
        <v>0</v>
      </c>
      <c r="K136" s="5"/>
    </row>
    <row r="137" spans="1:11" ht="12.75" customHeight="1" x14ac:dyDescent="0.2">
      <c r="A137" s="239" t="s">
        <v>214</v>
      </c>
      <c r="B137" s="171"/>
      <c r="C137" s="62" t="s">
        <v>215</v>
      </c>
      <c r="D137" s="238">
        <v>0</v>
      </c>
      <c r="E137" s="134">
        <v>-1015.6800000000001</v>
      </c>
      <c r="F137" s="135">
        <v>0</v>
      </c>
      <c r="G137" s="135">
        <v>0</v>
      </c>
      <c r="H137" s="135">
        <v>-9550.2099999999991</v>
      </c>
      <c r="I137" s="181">
        <f>SUM(E137:H137)</f>
        <v>-10565.89</v>
      </c>
      <c r="J137" s="235" t="str">
        <f>IFERROR(I137/D137*100,"0")</f>
        <v>0</v>
      </c>
      <c r="K137" s="5"/>
    </row>
    <row r="138" spans="1:11" ht="12.75" customHeight="1" x14ac:dyDescent="0.2">
      <c r="A138" s="239" t="s">
        <v>216</v>
      </c>
      <c r="B138" s="171"/>
      <c r="C138" s="62" t="s">
        <v>217</v>
      </c>
      <c r="D138" s="238">
        <v>0</v>
      </c>
      <c r="E138" s="134">
        <v>-50118.079999999994</v>
      </c>
      <c r="F138" s="135">
        <v>827.55</v>
      </c>
      <c r="G138" s="135">
        <v>612.31000000000006</v>
      </c>
      <c r="H138" s="135">
        <v>-123885.85</v>
      </c>
      <c r="I138" s="181">
        <f>SUM(E138:H138)</f>
        <v>-172564.07</v>
      </c>
      <c r="J138" s="235" t="str">
        <f>IFERROR(I138/D138*100,"0")</f>
        <v>0</v>
      </c>
      <c r="K138" s="5"/>
    </row>
    <row r="139" spans="1:11" ht="8.1" customHeight="1" x14ac:dyDescent="0.2">
      <c r="A139" s="228"/>
      <c r="D139" s="240"/>
      <c r="E139" s="240"/>
      <c r="F139" s="229"/>
      <c r="G139" s="229"/>
      <c r="H139" s="229"/>
      <c r="I139" s="241"/>
      <c r="J139" s="106"/>
      <c r="K139" s="5"/>
    </row>
    <row r="140" spans="1:11" s="52" customFormat="1" ht="18" customHeight="1" x14ac:dyDescent="0.25">
      <c r="A140" s="44">
        <v>14</v>
      </c>
      <c r="B140" s="200" t="s">
        <v>218</v>
      </c>
      <c r="C140" s="201" t="s">
        <v>219</v>
      </c>
      <c r="D140" s="129">
        <f>SUM(D132+D134)</f>
        <v>-23754896.900000002</v>
      </c>
      <c r="E140" s="242">
        <f t="shared" ref="E140:F140" si="33">SUM(E132+E134)</f>
        <v>-5716177.6200000001</v>
      </c>
      <c r="F140" s="242">
        <f t="shared" si="33"/>
        <v>-5297998.6000000015</v>
      </c>
      <c r="G140" s="242">
        <f>SUM(G132+G134)</f>
        <v>-5184884.3399999989</v>
      </c>
      <c r="H140" s="242">
        <f>SUM(H132+H134)</f>
        <v>-6060104.8400000008</v>
      </c>
      <c r="I140" s="176">
        <f>I132+I134</f>
        <v>-22259165.399999995</v>
      </c>
      <c r="J140" s="158">
        <f>I140/D140*100</f>
        <v>93.703481407237732</v>
      </c>
      <c r="K140" s="243"/>
    </row>
    <row r="141" spans="1:11" x14ac:dyDescent="0.2">
      <c r="A141" s="244"/>
      <c r="B141" s="172"/>
      <c r="C141" s="172"/>
      <c r="D141" s="245"/>
      <c r="E141" s="245"/>
      <c r="F141" s="246"/>
      <c r="G141" s="246"/>
      <c r="H141" s="246"/>
      <c r="I141" s="247"/>
      <c r="J141" s="230"/>
      <c r="K141" s="5"/>
    </row>
    <row r="142" spans="1:11" s="52" customFormat="1" ht="24.95" customHeight="1" x14ac:dyDescent="0.25">
      <c r="A142" s="248">
        <v>15</v>
      </c>
      <c r="B142" s="182" t="s">
        <v>220</v>
      </c>
      <c r="C142" s="249"/>
      <c r="D142" s="250">
        <f>D140+D42</f>
        <v>9.9999997764825821E-2</v>
      </c>
      <c r="E142" s="207">
        <f>E140+E42</f>
        <v>0</v>
      </c>
      <c r="F142" s="234">
        <f t="shared" ref="F142:I142" si="34">F140+F42</f>
        <v>0</v>
      </c>
      <c r="G142" s="234">
        <f>G140+G42</f>
        <v>0</v>
      </c>
      <c r="H142" s="234">
        <f>H140+H42</f>
        <v>0</v>
      </c>
      <c r="I142" s="208">
        <f t="shared" si="34"/>
        <v>0</v>
      </c>
      <c r="J142" s="61"/>
    </row>
    <row r="143" spans="1:11" ht="23.65" customHeight="1" x14ac:dyDescent="0.2">
      <c r="A143" s="228"/>
      <c r="B143" s="251"/>
      <c r="C143" s="251"/>
      <c r="D143" s="252"/>
      <c r="E143" s="252"/>
      <c r="F143" s="252"/>
      <c r="G143" s="253"/>
      <c r="H143" s="253"/>
      <c r="I143" s="253"/>
      <c r="J143" s="254"/>
      <c r="K143" s="254"/>
    </row>
    <row r="144" spans="1:11" s="52" customFormat="1" ht="16.5" customHeight="1" x14ac:dyDescent="0.2">
      <c r="A144" s="255" t="s">
        <v>221</v>
      </c>
      <c r="B144" s="102"/>
      <c r="C144" s="102"/>
      <c r="D144" s="104"/>
      <c r="E144" s="104"/>
      <c r="F144" s="104"/>
      <c r="G144" s="107"/>
      <c r="H144" s="107"/>
      <c r="I144" s="107"/>
      <c r="J144" s="256"/>
      <c r="K144" s="256"/>
    </row>
    <row r="145" spans="1:11" ht="11.25" customHeight="1" x14ac:dyDescent="0.2">
      <c r="A145" s="228"/>
      <c r="B145" s="6"/>
      <c r="C145" s="6"/>
      <c r="D145" s="109"/>
      <c r="E145" s="109"/>
      <c r="F145" s="109"/>
    </row>
    <row r="146" spans="1:11" ht="27" customHeight="1" x14ac:dyDescent="0.2">
      <c r="A146" s="228"/>
      <c r="B146" s="6"/>
      <c r="C146" s="6"/>
      <c r="D146" s="115" t="s">
        <v>12</v>
      </c>
      <c r="E146" s="257" t="s">
        <v>13</v>
      </c>
      <c r="F146" s="38" t="s">
        <v>14</v>
      </c>
      <c r="G146" s="39" t="s">
        <v>15</v>
      </c>
      <c r="H146" s="258" t="s">
        <v>16</v>
      </c>
      <c r="I146" s="257" t="s">
        <v>17</v>
      </c>
      <c r="J146" s="116" t="s">
        <v>18</v>
      </c>
      <c r="K146" s="259"/>
    </row>
    <row r="147" spans="1:11" ht="3" customHeight="1" x14ac:dyDescent="0.2">
      <c r="A147" s="228"/>
      <c r="B147" s="6"/>
      <c r="C147" s="6"/>
      <c r="D147" s="260"/>
      <c r="E147" s="3"/>
      <c r="F147" s="110"/>
      <c r="G147" s="2"/>
      <c r="H147" s="2"/>
      <c r="I147" s="111"/>
      <c r="J147" s="261"/>
      <c r="K147" s="112"/>
    </row>
    <row r="148" spans="1:11" ht="27.95" customHeight="1" x14ac:dyDescent="0.2">
      <c r="A148" s="44">
        <v>16</v>
      </c>
      <c r="B148" s="262" t="s">
        <v>222</v>
      </c>
      <c r="C148" s="263"/>
      <c r="D148" s="264">
        <f>SUM(D151:D157)</f>
        <v>290000</v>
      </c>
      <c r="E148" s="265">
        <f>SUM(E149:E157)</f>
        <v>185164.36</v>
      </c>
      <c r="F148" s="265">
        <f>SUM(F149:F157)</f>
        <v>91522</v>
      </c>
      <c r="G148" s="266">
        <f>SUM(G149:G157)</f>
        <v>1080</v>
      </c>
      <c r="H148" s="266">
        <f>SUM(H149:H157)</f>
        <v>137776.24</v>
      </c>
      <c r="I148" s="267">
        <f t="shared" ref="I148:I157" si="35">SUM(E148:H148)</f>
        <v>415542.6</v>
      </c>
      <c r="J148" s="268"/>
      <c r="K148" s="269"/>
    </row>
    <row r="149" spans="1:11" ht="12.75" customHeight="1" x14ac:dyDescent="0.2">
      <c r="A149" s="239" t="s">
        <v>223</v>
      </c>
      <c r="B149" s="18"/>
      <c r="C149" s="270" t="s">
        <v>224</v>
      </c>
      <c r="D149" s="238">
        <v>0</v>
      </c>
      <c r="E149" s="271">
        <v>5020</v>
      </c>
      <c r="F149" s="135">
        <v>0</v>
      </c>
      <c r="G149" s="135">
        <v>0</v>
      </c>
      <c r="H149" s="272">
        <v>1218</v>
      </c>
      <c r="I149" s="273">
        <f t="shared" si="35"/>
        <v>6238</v>
      </c>
      <c r="J149" s="268"/>
      <c r="K149" s="269"/>
    </row>
    <row r="150" spans="1:11" ht="12.75" customHeight="1" x14ac:dyDescent="0.2">
      <c r="A150" s="239" t="s">
        <v>225</v>
      </c>
      <c r="B150" s="274"/>
      <c r="C150" s="275" t="s">
        <v>226</v>
      </c>
      <c r="D150" s="238">
        <v>0</v>
      </c>
      <c r="E150" s="271">
        <v>0</v>
      </c>
      <c r="F150" s="135">
        <v>0</v>
      </c>
      <c r="G150" s="135">
        <v>0</v>
      </c>
      <c r="H150" s="272">
        <v>0</v>
      </c>
      <c r="I150" s="273">
        <f t="shared" si="35"/>
        <v>0</v>
      </c>
      <c r="J150" s="276"/>
      <c r="K150" s="277"/>
    </row>
    <row r="151" spans="1:11" ht="12.75" customHeight="1" x14ac:dyDescent="0.2">
      <c r="A151" s="239" t="s">
        <v>227</v>
      </c>
      <c r="B151" s="18"/>
      <c r="C151" s="270" t="s">
        <v>228</v>
      </c>
      <c r="D151" s="238">
        <v>0</v>
      </c>
      <c r="E151" s="271">
        <v>0</v>
      </c>
      <c r="F151" s="135">
        <v>9015</v>
      </c>
      <c r="G151" s="135">
        <f>1080</f>
        <v>1080</v>
      </c>
      <c r="H151" s="272">
        <v>1055.74</v>
      </c>
      <c r="I151" s="273">
        <f t="shared" si="35"/>
        <v>11150.74</v>
      </c>
      <c r="J151" s="268"/>
      <c r="K151" s="269"/>
    </row>
    <row r="152" spans="1:11" ht="12.75" customHeight="1" x14ac:dyDescent="0.2">
      <c r="A152" s="239" t="s">
        <v>229</v>
      </c>
      <c r="B152" s="18"/>
      <c r="C152" s="270" t="s">
        <v>230</v>
      </c>
      <c r="D152" s="238">
        <v>0</v>
      </c>
      <c r="E152" s="271">
        <v>4499</v>
      </c>
      <c r="F152" s="135">
        <v>0</v>
      </c>
      <c r="G152" s="135">
        <v>0</v>
      </c>
      <c r="H152" s="272">
        <v>0</v>
      </c>
      <c r="I152" s="273">
        <f t="shared" si="35"/>
        <v>4499</v>
      </c>
      <c r="J152" s="276"/>
      <c r="K152" s="277"/>
    </row>
    <row r="153" spans="1:11" ht="12.75" customHeight="1" x14ac:dyDescent="0.2">
      <c r="A153" s="239" t="s">
        <v>231</v>
      </c>
      <c r="B153" s="18"/>
      <c r="C153" s="270" t="s">
        <v>232</v>
      </c>
      <c r="D153" s="238">
        <v>0</v>
      </c>
      <c r="E153" s="271">
        <v>0</v>
      </c>
      <c r="F153" s="135">
        <v>0</v>
      </c>
      <c r="G153" s="135">
        <v>0</v>
      </c>
      <c r="H153" s="272">
        <v>0</v>
      </c>
      <c r="I153" s="273">
        <f t="shared" si="35"/>
        <v>0</v>
      </c>
      <c r="J153" s="276"/>
      <c r="K153" s="277"/>
    </row>
    <row r="154" spans="1:11" ht="12.75" customHeight="1" x14ac:dyDescent="0.2">
      <c r="A154" s="239" t="s">
        <v>233</v>
      </c>
      <c r="B154" s="18"/>
      <c r="C154" s="270" t="s">
        <v>234</v>
      </c>
      <c r="D154" s="238">
        <v>0</v>
      </c>
      <c r="E154" s="271">
        <v>0</v>
      </c>
      <c r="F154" s="135">
        <v>0</v>
      </c>
      <c r="G154" s="135">
        <v>0</v>
      </c>
      <c r="H154" s="272">
        <v>0</v>
      </c>
      <c r="I154" s="273">
        <f t="shared" si="35"/>
        <v>0</v>
      </c>
      <c r="J154" s="276"/>
      <c r="K154" s="277"/>
    </row>
    <row r="155" spans="1:11" ht="12.75" customHeight="1" x14ac:dyDescent="0.2">
      <c r="A155" s="239" t="s">
        <v>235</v>
      </c>
      <c r="B155" s="18"/>
      <c r="C155" s="270" t="s">
        <v>236</v>
      </c>
      <c r="D155" s="238">
        <v>0</v>
      </c>
      <c r="E155" s="271">
        <v>0</v>
      </c>
      <c r="F155" s="135">
        <v>0</v>
      </c>
      <c r="G155" s="135">
        <v>0</v>
      </c>
      <c r="H155" s="135">
        <v>0</v>
      </c>
      <c r="I155" s="273">
        <f t="shared" si="35"/>
        <v>0</v>
      </c>
      <c r="J155" s="276"/>
      <c r="K155" s="277"/>
    </row>
    <row r="156" spans="1:11" ht="12.75" customHeight="1" x14ac:dyDescent="0.2">
      <c r="A156" s="239" t="s">
        <v>237</v>
      </c>
      <c r="B156" s="18"/>
      <c r="C156" s="270" t="s">
        <v>238</v>
      </c>
      <c r="D156" s="238">
        <v>0</v>
      </c>
      <c r="E156" s="271">
        <v>0</v>
      </c>
      <c r="F156" s="135">
        <v>0</v>
      </c>
      <c r="G156" s="135">
        <v>0</v>
      </c>
      <c r="H156" s="135">
        <v>0</v>
      </c>
      <c r="I156" s="273">
        <f t="shared" si="35"/>
        <v>0</v>
      </c>
      <c r="J156" s="276"/>
      <c r="K156" s="277"/>
    </row>
    <row r="157" spans="1:11" ht="12.75" customHeight="1" x14ac:dyDescent="0.25">
      <c r="A157" s="239" t="s">
        <v>239</v>
      </c>
      <c r="B157" s="18"/>
      <c r="C157" s="270" t="s">
        <v>240</v>
      </c>
      <c r="D157" s="180">
        <v>290000</v>
      </c>
      <c r="E157" s="271">
        <v>175645.36</v>
      </c>
      <c r="F157" s="278">
        <v>82507</v>
      </c>
      <c r="G157" s="278">
        <v>0</v>
      </c>
      <c r="H157" s="279">
        <v>135502.5</v>
      </c>
      <c r="I157" s="273">
        <f t="shared" si="35"/>
        <v>393654.86</v>
      </c>
      <c r="J157" s="268"/>
      <c r="K157" s="280"/>
    </row>
    <row r="158" spans="1:11" ht="20.100000000000001" customHeight="1" x14ac:dyDescent="0.2">
      <c r="A158" s="228"/>
      <c r="B158" s="6"/>
      <c r="C158" s="6"/>
      <c r="D158" s="109"/>
      <c r="E158" s="109"/>
      <c r="F158" s="109"/>
      <c r="J158" s="281"/>
      <c r="K158" s="281"/>
    </row>
    <row r="159" spans="1:11" ht="27.95" customHeight="1" x14ac:dyDescent="0.2">
      <c r="A159" s="44">
        <v>17</v>
      </c>
      <c r="B159" s="282" t="s">
        <v>241</v>
      </c>
      <c r="C159" s="124"/>
      <c r="D159" s="283">
        <f>SUM(D160:D168)</f>
        <v>0</v>
      </c>
      <c r="E159" s="266">
        <f>SUM(E160:E168)</f>
        <v>0</v>
      </c>
      <c r="F159" s="266">
        <f>SUM(F160:F168)</f>
        <v>0</v>
      </c>
      <c r="G159" s="266">
        <f>SUM(G160:G168)</f>
        <v>0</v>
      </c>
      <c r="H159" s="266">
        <f>SUM(H160:H168)</f>
        <v>0</v>
      </c>
      <c r="I159" s="284"/>
      <c r="J159" s="285"/>
      <c r="K159" s="286"/>
    </row>
    <row r="160" spans="1:11" s="291" customFormat="1" x14ac:dyDescent="0.2">
      <c r="A160" s="239" t="s">
        <v>242</v>
      </c>
      <c r="B160" s="18"/>
      <c r="C160" s="270" t="s">
        <v>224</v>
      </c>
      <c r="D160" s="287">
        <v>0</v>
      </c>
      <c r="E160" s="288">
        <v>0</v>
      </c>
      <c r="F160" s="289">
        <v>0</v>
      </c>
      <c r="G160" s="289">
        <v>0</v>
      </c>
      <c r="H160" s="290">
        <v>0</v>
      </c>
      <c r="I160" s="284"/>
      <c r="J160" s="285"/>
      <c r="K160" s="286"/>
    </row>
    <row r="161" spans="1:11" s="291" customFormat="1" x14ac:dyDescent="0.2">
      <c r="A161" s="239" t="s">
        <v>243</v>
      </c>
      <c r="B161" s="274"/>
      <c r="C161" s="275" t="s">
        <v>226</v>
      </c>
      <c r="D161" s="287">
        <v>0</v>
      </c>
      <c r="E161" s="288">
        <v>0</v>
      </c>
      <c r="F161" s="289">
        <v>0</v>
      </c>
      <c r="G161" s="289">
        <v>0</v>
      </c>
      <c r="H161" s="290">
        <v>0</v>
      </c>
      <c r="I161" s="284"/>
      <c r="J161" s="285"/>
      <c r="K161" s="286"/>
    </row>
    <row r="162" spans="1:11" s="291" customFormat="1" x14ac:dyDescent="0.2">
      <c r="A162" s="239" t="s">
        <v>244</v>
      </c>
      <c r="B162" s="18"/>
      <c r="C162" s="270" t="s">
        <v>228</v>
      </c>
      <c r="D162" s="287">
        <v>0</v>
      </c>
      <c r="E162" s="288">
        <v>0</v>
      </c>
      <c r="F162" s="289">
        <v>0</v>
      </c>
      <c r="G162" s="289">
        <v>0</v>
      </c>
      <c r="H162" s="290">
        <v>0</v>
      </c>
      <c r="I162" s="284"/>
      <c r="J162" s="285"/>
      <c r="K162" s="286"/>
    </row>
    <row r="163" spans="1:11" s="291" customFormat="1" x14ac:dyDescent="0.2">
      <c r="A163" s="239" t="s">
        <v>245</v>
      </c>
      <c r="B163" s="18"/>
      <c r="C163" s="270" t="s">
        <v>230</v>
      </c>
      <c r="D163" s="287">
        <v>0</v>
      </c>
      <c r="E163" s="288">
        <v>0</v>
      </c>
      <c r="F163" s="289">
        <v>0</v>
      </c>
      <c r="G163" s="289">
        <v>0</v>
      </c>
      <c r="H163" s="290">
        <v>0</v>
      </c>
      <c r="I163" s="284"/>
      <c r="J163" s="285"/>
      <c r="K163" s="286"/>
    </row>
    <row r="164" spans="1:11" s="291" customFormat="1" x14ac:dyDescent="0.2">
      <c r="A164" s="239" t="s">
        <v>246</v>
      </c>
      <c r="B164" s="18"/>
      <c r="C164" s="270" t="s">
        <v>247</v>
      </c>
      <c r="D164" s="287">
        <v>0</v>
      </c>
      <c r="E164" s="288">
        <v>0</v>
      </c>
      <c r="F164" s="289">
        <v>0</v>
      </c>
      <c r="G164" s="289">
        <v>0</v>
      </c>
      <c r="H164" s="290">
        <v>0</v>
      </c>
      <c r="I164" s="284"/>
      <c r="J164" s="285"/>
      <c r="K164" s="286"/>
    </row>
    <row r="165" spans="1:11" s="291" customFormat="1" x14ac:dyDescent="0.2">
      <c r="A165" s="239" t="s">
        <v>248</v>
      </c>
      <c r="B165" s="18"/>
      <c r="C165" s="270" t="s">
        <v>234</v>
      </c>
      <c r="D165" s="287">
        <v>0</v>
      </c>
      <c r="E165" s="288">
        <v>0</v>
      </c>
      <c r="F165" s="289">
        <v>0</v>
      </c>
      <c r="G165" s="289">
        <v>0</v>
      </c>
      <c r="H165" s="290">
        <v>0</v>
      </c>
      <c r="I165" s="284"/>
      <c r="J165" s="285"/>
      <c r="K165" s="286"/>
    </row>
    <row r="166" spans="1:11" s="291" customFormat="1" x14ac:dyDescent="0.2">
      <c r="A166" s="239" t="s">
        <v>249</v>
      </c>
      <c r="B166" s="18"/>
      <c r="C166" s="270" t="s">
        <v>236</v>
      </c>
      <c r="D166" s="287">
        <v>0</v>
      </c>
      <c r="E166" s="288">
        <v>0</v>
      </c>
      <c r="F166" s="289">
        <v>0</v>
      </c>
      <c r="G166" s="289">
        <v>0</v>
      </c>
      <c r="H166" s="290">
        <v>0</v>
      </c>
      <c r="I166" s="284"/>
      <c r="J166" s="285"/>
      <c r="K166" s="286"/>
    </row>
    <row r="167" spans="1:11" s="291" customFormat="1" x14ac:dyDescent="0.2">
      <c r="A167" s="239" t="s">
        <v>250</v>
      </c>
      <c r="B167" s="18"/>
      <c r="C167" s="270" t="s">
        <v>238</v>
      </c>
      <c r="D167" s="287">
        <v>0</v>
      </c>
      <c r="E167" s="288">
        <v>0</v>
      </c>
      <c r="F167" s="289">
        <v>0</v>
      </c>
      <c r="G167" s="289">
        <v>0</v>
      </c>
      <c r="H167" s="290">
        <v>0</v>
      </c>
      <c r="I167" s="284"/>
      <c r="J167" s="285"/>
      <c r="K167" s="286"/>
    </row>
    <row r="168" spans="1:11" s="291" customFormat="1" x14ac:dyDescent="0.2">
      <c r="A168" s="239" t="s">
        <v>251</v>
      </c>
      <c r="B168" s="18"/>
      <c r="C168" s="270" t="s">
        <v>240</v>
      </c>
      <c r="D168" s="287">
        <v>0</v>
      </c>
      <c r="E168" s="288">
        <v>0</v>
      </c>
      <c r="F168" s="289">
        <v>0</v>
      </c>
      <c r="G168" s="289">
        <v>0</v>
      </c>
      <c r="H168" s="290">
        <v>0</v>
      </c>
      <c r="I168" s="284"/>
      <c r="J168" s="285"/>
      <c r="K168" s="286"/>
    </row>
    <row r="169" spans="1:11" s="52" customFormat="1" ht="20.100000000000001" customHeight="1" x14ac:dyDescent="0.2">
      <c r="A169" s="228"/>
      <c r="B169" s="159"/>
      <c r="C169" s="159"/>
      <c r="D169" s="160"/>
      <c r="E169" s="160"/>
      <c r="F169" s="160"/>
      <c r="G169" s="107"/>
      <c r="H169" s="107"/>
      <c r="I169" s="107"/>
      <c r="J169" s="292"/>
      <c r="K169" s="292"/>
    </row>
    <row r="170" spans="1:11" ht="27.95" customHeight="1" x14ac:dyDescent="0.2">
      <c r="A170" s="44">
        <v>18</v>
      </c>
      <c r="B170" s="262" t="s">
        <v>252</v>
      </c>
      <c r="C170" s="263" t="s">
        <v>253</v>
      </c>
      <c r="D170" s="156">
        <f>SUM(D171:D179)</f>
        <v>0</v>
      </c>
      <c r="E170" s="222">
        <f>SUM(E171:E179)</f>
        <v>83348</v>
      </c>
      <c r="F170" s="202">
        <f>SUM(F171:F179)</f>
        <v>26700</v>
      </c>
      <c r="G170" s="202">
        <f>SUM(G171:G179)</f>
        <v>201301</v>
      </c>
      <c r="H170" s="202">
        <f>SUM(H171:H179)</f>
        <v>153487</v>
      </c>
      <c r="I170" s="284"/>
      <c r="J170" s="116"/>
      <c r="K170" s="259"/>
    </row>
    <row r="171" spans="1:11" s="291" customFormat="1" x14ac:dyDescent="0.2">
      <c r="A171" s="293" t="s">
        <v>254</v>
      </c>
      <c r="B171" s="18"/>
      <c r="C171" s="270" t="s">
        <v>224</v>
      </c>
      <c r="D171" s="218">
        <v>0</v>
      </c>
      <c r="E171" s="294">
        <v>59556</v>
      </c>
      <c r="F171" s="294">
        <v>1200</v>
      </c>
      <c r="G171" s="289">
        <v>30081</v>
      </c>
      <c r="H171" s="290">
        <v>27522</v>
      </c>
      <c r="I171" s="284"/>
      <c r="J171" s="268"/>
      <c r="K171" s="269"/>
    </row>
    <row r="172" spans="1:11" s="291" customFormat="1" x14ac:dyDescent="0.2">
      <c r="A172" s="293" t="s">
        <v>255</v>
      </c>
      <c r="B172" s="274"/>
      <c r="C172" s="275" t="s">
        <v>226</v>
      </c>
      <c r="D172" s="218">
        <v>0</v>
      </c>
      <c r="E172" s="294">
        <v>0</v>
      </c>
      <c r="F172" s="289">
        <v>0</v>
      </c>
      <c r="G172" s="289">
        <v>0</v>
      </c>
      <c r="H172" s="290">
        <v>0</v>
      </c>
      <c r="I172" s="284"/>
      <c r="J172" s="268"/>
      <c r="K172" s="269"/>
    </row>
    <row r="173" spans="1:11" s="291" customFormat="1" x14ac:dyDescent="0.2">
      <c r="A173" s="293" t="s">
        <v>256</v>
      </c>
      <c r="B173" s="18"/>
      <c r="C173" s="270" t="s">
        <v>228</v>
      </c>
      <c r="D173" s="218">
        <v>0</v>
      </c>
      <c r="E173" s="294">
        <v>19594</v>
      </c>
      <c r="F173" s="289">
        <v>0</v>
      </c>
      <c r="G173" s="289">
        <v>70275</v>
      </c>
      <c r="H173" s="290">
        <v>102965</v>
      </c>
      <c r="I173" s="284"/>
      <c r="J173" s="268"/>
      <c r="K173" s="269"/>
    </row>
    <row r="174" spans="1:11" s="291" customFormat="1" x14ac:dyDescent="0.2">
      <c r="A174" s="293" t="s">
        <v>257</v>
      </c>
      <c r="B174" s="18"/>
      <c r="C174" s="270" t="s">
        <v>230</v>
      </c>
      <c r="D174" s="218">
        <v>0</v>
      </c>
      <c r="E174" s="294">
        <v>0</v>
      </c>
      <c r="F174" s="289">
        <v>0</v>
      </c>
      <c r="G174" s="289">
        <v>0</v>
      </c>
      <c r="H174" s="290">
        <v>0</v>
      </c>
      <c r="I174" s="284"/>
      <c r="J174" s="268"/>
      <c r="K174" s="269"/>
    </row>
    <row r="175" spans="1:11" s="291" customFormat="1" x14ac:dyDescent="0.2">
      <c r="A175" s="293" t="s">
        <v>258</v>
      </c>
      <c r="B175" s="18"/>
      <c r="C175" s="270" t="s">
        <v>247</v>
      </c>
      <c r="D175" s="218">
        <v>0</v>
      </c>
      <c r="E175" s="266">
        <v>0</v>
      </c>
      <c r="F175" s="289">
        <v>0</v>
      </c>
      <c r="G175" s="289">
        <v>0</v>
      </c>
      <c r="H175" s="290">
        <v>0</v>
      </c>
      <c r="I175" s="284"/>
      <c r="J175" s="268"/>
      <c r="K175" s="269"/>
    </row>
    <row r="176" spans="1:11" s="291" customFormat="1" x14ac:dyDescent="0.2">
      <c r="A176" s="293" t="s">
        <v>259</v>
      </c>
      <c r="B176" s="18"/>
      <c r="C176" s="270" t="s">
        <v>234</v>
      </c>
      <c r="D176" s="218">
        <v>0</v>
      </c>
      <c r="E176" s="294">
        <v>0</v>
      </c>
      <c r="F176" s="289">
        <v>0</v>
      </c>
      <c r="G176" s="289">
        <v>0</v>
      </c>
      <c r="H176" s="290">
        <v>0</v>
      </c>
      <c r="I176" s="284"/>
      <c r="J176" s="268"/>
      <c r="K176" s="269"/>
    </row>
    <row r="177" spans="1:12" s="291" customFormat="1" x14ac:dyDescent="0.2">
      <c r="A177" s="293" t="s">
        <v>260</v>
      </c>
      <c r="B177" s="18"/>
      <c r="C177" s="270" t="s">
        <v>236</v>
      </c>
      <c r="D177" s="218">
        <v>0</v>
      </c>
      <c r="E177" s="294">
        <v>4198</v>
      </c>
      <c r="F177" s="289">
        <v>25500</v>
      </c>
      <c r="G177" s="289">
        <v>100945</v>
      </c>
      <c r="H177" s="290">
        <v>23000</v>
      </c>
      <c r="I177" s="284"/>
      <c r="J177" s="268"/>
      <c r="K177" s="269"/>
    </row>
    <row r="178" spans="1:12" s="291" customFormat="1" x14ac:dyDescent="0.2">
      <c r="A178" s="293" t="s">
        <v>261</v>
      </c>
      <c r="B178" s="18"/>
      <c r="C178" s="270" t="s">
        <v>238</v>
      </c>
      <c r="D178" s="218">
        <v>0</v>
      </c>
      <c r="E178" s="294">
        <v>0</v>
      </c>
      <c r="F178" s="289">
        <v>0</v>
      </c>
      <c r="G178" s="289">
        <v>0</v>
      </c>
      <c r="H178" s="290">
        <v>0</v>
      </c>
      <c r="I178" s="284"/>
      <c r="J178" s="268"/>
      <c r="K178" s="269"/>
    </row>
    <row r="179" spans="1:12" s="291" customFormat="1" x14ac:dyDescent="0.2">
      <c r="A179" s="293" t="s">
        <v>262</v>
      </c>
      <c r="B179" s="18"/>
      <c r="C179" s="270" t="s">
        <v>240</v>
      </c>
      <c r="D179" s="218">
        <v>0</v>
      </c>
      <c r="E179" s="294">
        <v>0</v>
      </c>
      <c r="F179" s="289">
        <v>0</v>
      </c>
      <c r="G179" s="289">
        <v>0</v>
      </c>
      <c r="H179" s="290">
        <v>0</v>
      </c>
      <c r="I179" s="284"/>
      <c r="J179" s="268"/>
      <c r="K179" s="269"/>
    </row>
    <row r="180" spans="1:12" ht="24" customHeight="1" x14ac:dyDescent="0.2">
      <c r="A180" s="228"/>
      <c r="D180" s="295"/>
      <c r="E180" s="295"/>
      <c r="F180" s="295"/>
    </row>
    <row r="181" spans="1:12" s="52" customFormat="1" ht="16.5" customHeight="1" x14ac:dyDescent="0.2">
      <c r="A181" s="255" t="s">
        <v>263</v>
      </c>
      <c r="B181" s="102"/>
      <c r="C181" s="102"/>
      <c r="D181" s="104"/>
      <c r="E181" s="104"/>
      <c r="F181" s="104"/>
      <c r="G181" s="107"/>
      <c r="H181" s="107"/>
      <c r="I181" s="107"/>
      <c r="J181" s="256"/>
      <c r="K181" s="256"/>
    </row>
    <row r="182" spans="1:12" s="52" customFormat="1" ht="16.5" customHeight="1" x14ac:dyDescent="0.2">
      <c r="A182" s="255"/>
      <c r="B182" s="102"/>
      <c r="C182" s="102"/>
      <c r="D182" s="104"/>
      <c r="E182" s="104"/>
      <c r="F182" s="104"/>
      <c r="G182" s="107"/>
      <c r="H182" s="107"/>
      <c r="I182" s="107"/>
      <c r="J182" s="256"/>
      <c r="K182" s="256"/>
    </row>
    <row r="183" spans="1:12" ht="11.25" customHeight="1" x14ac:dyDescent="0.2">
      <c r="A183" s="228"/>
      <c r="B183" s="6"/>
      <c r="C183" s="6"/>
      <c r="D183" s="109"/>
      <c r="E183" s="109"/>
      <c r="F183" s="109"/>
    </row>
    <row r="184" spans="1:12" s="43" customFormat="1" ht="27" customHeight="1" x14ac:dyDescent="0.2">
      <c r="A184" s="228"/>
      <c r="B184" s="161" t="s">
        <v>264</v>
      </c>
      <c r="C184" s="162"/>
      <c r="D184" s="115" t="s">
        <v>12</v>
      </c>
      <c r="E184" s="296" t="s">
        <v>13</v>
      </c>
      <c r="F184" s="297" t="s">
        <v>14</v>
      </c>
      <c r="G184" s="39" t="s">
        <v>15</v>
      </c>
      <c r="H184" s="258" t="s">
        <v>16</v>
      </c>
      <c r="I184" s="257" t="s">
        <v>17</v>
      </c>
      <c r="J184" s="116" t="s">
        <v>18</v>
      </c>
      <c r="K184" s="259"/>
    </row>
    <row r="185" spans="1:12" s="291" customFormat="1" ht="15" customHeight="1" x14ac:dyDescent="0.2">
      <c r="A185" s="293" t="s">
        <v>265</v>
      </c>
      <c r="B185" s="298" t="s">
        <v>266</v>
      </c>
      <c r="C185" s="299"/>
      <c r="D185" s="300">
        <f>443006.2736+274478.49</f>
        <v>717484.76359999995</v>
      </c>
      <c r="E185" s="301">
        <f>D193</f>
        <v>717484.76359999995</v>
      </c>
      <c r="F185" s="302">
        <f>E193</f>
        <v>16892257.763599999</v>
      </c>
      <c r="G185" s="302">
        <f>F193</f>
        <v>11592892.203600001</v>
      </c>
      <c r="H185" s="303">
        <f>G193</f>
        <v>3839763.683600001</v>
      </c>
      <c r="I185" s="304"/>
      <c r="J185" s="305"/>
      <c r="K185" s="286"/>
    </row>
    <row r="186" spans="1:12" s="291" customFormat="1" ht="3" customHeight="1" x14ac:dyDescent="0.2">
      <c r="A186" s="293"/>
      <c r="B186" s="18"/>
      <c r="C186" s="270"/>
      <c r="D186" s="238"/>
      <c r="E186" s="306"/>
      <c r="F186" s="307"/>
      <c r="G186" s="308"/>
      <c r="H186" s="309"/>
      <c r="I186" s="310"/>
      <c r="J186" s="88"/>
      <c r="K186" s="106"/>
    </row>
    <row r="187" spans="1:12" s="291" customFormat="1" ht="15" customHeight="1" x14ac:dyDescent="0.2">
      <c r="A187" s="293" t="s">
        <v>267</v>
      </c>
      <c r="B187" s="18" t="s">
        <v>268</v>
      </c>
      <c r="C187" s="270"/>
      <c r="D187" s="238">
        <v>0</v>
      </c>
      <c r="E187" s="311">
        <f>20988837.62-1860</f>
        <v>20986977.620000001</v>
      </c>
      <c r="F187" s="311">
        <v>0</v>
      </c>
      <c r="G187" s="311">
        <v>-3326353.92</v>
      </c>
      <c r="H187" s="311">
        <f>1000000+388177</f>
        <v>1388177</v>
      </c>
      <c r="I187" s="312"/>
      <c r="J187" s="285"/>
      <c r="K187" s="286"/>
    </row>
    <row r="188" spans="1:12" s="291" customFormat="1" ht="15" customHeight="1" x14ac:dyDescent="0.25">
      <c r="A188" s="293" t="s">
        <v>269</v>
      </c>
      <c r="B188" s="274" t="s">
        <v>270</v>
      </c>
      <c r="C188" s="275"/>
      <c r="D188" s="238">
        <v>0</v>
      </c>
      <c r="E188" s="311">
        <f>-4804545.62</f>
        <v>-4804545.62</v>
      </c>
      <c r="F188" s="313">
        <f>-5291895.56</f>
        <v>-5291895.5599999996</v>
      </c>
      <c r="G188" s="311">
        <f>-4423804.97-344.63</f>
        <v>-4424149.5999999996</v>
      </c>
      <c r="H188" s="311">
        <v>-3164188</v>
      </c>
      <c r="I188" s="312"/>
      <c r="J188" s="285"/>
      <c r="K188" s="280"/>
    </row>
    <row r="189" spans="1:12" s="291" customFormat="1" ht="15" customHeight="1" x14ac:dyDescent="0.2">
      <c r="A189" s="239" t="s">
        <v>271</v>
      </c>
      <c r="B189" s="18" t="s">
        <v>272</v>
      </c>
      <c r="C189" s="270"/>
      <c r="D189" s="238">
        <v>0</v>
      </c>
      <c r="E189" s="311">
        <f>-9519+1860</f>
        <v>-7659</v>
      </c>
      <c r="F189" s="313">
        <v>-7470</v>
      </c>
      <c r="G189" s="311">
        <v>-2625</v>
      </c>
      <c r="H189" s="311">
        <v>-4133.72</v>
      </c>
      <c r="I189" s="312"/>
      <c r="J189" s="285"/>
      <c r="K189" s="286"/>
    </row>
    <row r="190" spans="1:12" s="291" customFormat="1" ht="15" customHeight="1" x14ac:dyDescent="0.2">
      <c r="A190" s="239" t="s">
        <v>273</v>
      </c>
      <c r="B190" s="314" t="s">
        <v>274</v>
      </c>
      <c r="C190" s="251"/>
      <c r="D190" s="315">
        <v>0</v>
      </c>
      <c r="E190" s="316">
        <v>0</v>
      </c>
      <c r="F190" s="316">
        <v>0</v>
      </c>
      <c r="G190" s="311">
        <v>0</v>
      </c>
      <c r="H190" s="311">
        <v>0</v>
      </c>
      <c r="I190" s="312"/>
      <c r="J190" s="317"/>
      <c r="K190" s="286"/>
    </row>
    <row r="191" spans="1:12" s="291" customFormat="1" ht="15" customHeight="1" x14ac:dyDescent="0.2">
      <c r="A191" s="318" t="s">
        <v>275</v>
      </c>
      <c r="B191" s="18" t="s">
        <v>276</v>
      </c>
      <c r="C191" s="270"/>
      <c r="D191" s="238">
        <v>0</v>
      </c>
      <c r="E191" s="306">
        <f>SUM(E187:E190)</f>
        <v>16174773</v>
      </c>
      <c r="F191" s="306">
        <f>SUM(F187:F190)</f>
        <v>-5299365.5599999996</v>
      </c>
      <c r="G191" s="311">
        <f>SUM(G187:G190)</f>
        <v>-7753128.5199999996</v>
      </c>
      <c r="H191" s="311">
        <f>SUM(H187:H190)</f>
        <v>-1780144.72</v>
      </c>
      <c r="I191" s="312"/>
      <c r="J191" s="88"/>
      <c r="K191" s="106"/>
    </row>
    <row r="192" spans="1:12" s="291" customFormat="1" ht="6" customHeight="1" x14ac:dyDescent="0.2">
      <c r="A192" s="319"/>
      <c r="B192" s="320"/>
      <c r="C192" s="1"/>
      <c r="D192" s="321"/>
      <c r="E192" s="240"/>
      <c r="F192" s="240"/>
      <c r="G192" s="322"/>
      <c r="H192" s="322"/>
      <c r="I192" s="323"/>
      <c r="J192" s="324"/>
      <c r="K192" s="324"/>
      <c r="L192" s="5"/>
    </row>
    <row r="193" spans="1:14" s="146" customFormat="1" ht="24.95" customHeight="1" x14ac:dyDescent="0.25">
      <c r="A193" s="325" t="s">
        <v>277</v>
      </c>
      <c r="B193" s="143" t="s">
        <v>278</v>
      </c>
      <c r="C193" s="144"/>
      <c r="D193" s="326">
        <f>+D185+D191</f>
        <v>717484.76359999995</v>
      </c>
      <c r="E193" s="327">
        <f>E185+E191</f>
        <v>16892257.763599999</v>
      </c>
      <c r="F193" s="157">
        <f>F185+F191</f>
        <v>11592892.203600001</v>
      </c>
      <c r="G193" s="157">
        <f>G185+G191</f>
        <v>3839763.683600001</v>
      </c>
      <c r="H193" s="328">
        <f>H185+H191</f>
        <v>2059618.9636000011</v>
      </c>
      <c r="I193" s="329"/>
      <c r="J193" s="88"/>
      <c r="K193" s="106"/>
    </row>
    <row r="194" spans="1:14" x14ac:dyDescent="0.2">
      <c r="A194" s="228"/>
      <c r="D194" s="109"/>
      <c r="E194" s="109"/>
      <c r="F194" s="109"/>
      <c r="K194" s="330"/>
    </row>
    <row r="195" spans="1:14" s="43" customFormat="1" ht="27" customHeight="1" x14ac:dyDescent="0.25">
      <c r="A195" s="44">
        <v>20</v>
      </c>
      <c r="B195" s="331" t="s">
        <v>279</v>
      </c>
      <c r="C195" s="332"/>
      <c r="D195" s="115" t="s">
        <v>12</v>
      </c>
      <c r="E195" s="257" t="s">
        <v>13</v>
      </c>
      <c r="F195" s="38" t="s">
        <v>14</v>
      </c>
      <c r="G195" s="39" t="s">
        <v>15</v>
      </c>
      <c r="H195" s="258" t="s">
        <v>16</v>
      </c>
      <c r="I195" s="257" t="s">
        <v>17</v>
      </c>
      <c r="J195" s="116" t="s">
        <v>18</v>
      </c>
      <c r="K195" s="259"/>
    </row>
    <row r="196" spans="1:14" s="291" customFormat="1" ht="15" customHeight="1" x14ac:dyDescent="0.25">
      <c r="A196" s="333" t="s">
        <v>280</v>
      </c>
      <c r="B196" s="299" t="s">
        <v>281</v>
      </c>
      <c r="C196" s="299"/>
      <c r="D196" s="334">
        <v>0</v>
      </c>
      <c r="E196" s="335">
        <v>1356735.33</v>
      </c>
      <c r="F196" s="336">
        <v>1305708.8400000001</v>
      </c>
      <c r="G196" s="336">
        <v>1305708.8400000001</v>
      </c>
      <c r="H196" s="336">
        <v>1368810.8299999998</v>
      </c>
      <c r="I196" s="337"/>
      <c r="J196" s="305"/>
      <c r="K196" s="338"/>
    </row>
    <row r="197" spans="1:14" s="291" customFormat="1" ht="15" customHeight="1" x14ac:dyDescent="0.25">
      <c r="A197" s="293" t="s">
        <v>282</v>
      </c>
      <c r="B197" s="270" t="s">
        <v>283</v>
      </c>
      <c r="C197" s="270"/>
      <c r="D197" s="287">
        <v>0</v>
      </c>
      <c r="E197" s="339">
        <v>241719.53</v>
      </c>
      <c r="F197" s="336">
        <v>241056.57</v>
      </c>
      <c r="G197" s="336">
        <v>241056.57</v>
      </c>
      <c r="H197" s="340">
        <v>242262.08000000002</v>
      </c>
      <c r="I197" s="337"/>
      <c r="J197" s="285"/>
      <c r="K197" s="338"/>
    </row>
    <row r="198" spans="1:14" s="291" customFormat="1" ht="15" customHeight="1" x14ac:dyDescent="0.2">
      <c r="A198" s="293" t="s">
        <v>271</v>
      </c>
      <c r="B198" s="18" t="s">
        <v>284</v>
      </c>
      <c r="C198" s="270"/>
      <c r="D198" s="287">
        <v>0</v>
      </c>
      <c r="E198" s="339">
        <v>11329.72</v>
      </c>
      <c r="F198" s="336">
        <v>4556.33</v>
      </c>
      <c r="G198" s="336">
        <v>5239</v>
      </c>
      <c r="H198" s="340">
        <f>160.37+2584.83</f>
        <v>2745.2</v>
      </c>
      <c r="I198" s="341"/>
      <c r="J198" s="285"/>
      <c r="K198" s="286"/>
    </row>
    <row r="199" spans="1:14" s="291" customFormat="1" ht="15" customHeight="1" x14ac:dyDescent="0.2">
      <c r="A199" s="293" t="s">
        <v>285</v>
      </c>
      <c r="B199" s="270" t="s">
        <v>286</v>
      </c>
      <c r="C199" s="275"/>
      <c r="D199" s="287">
        <v>0</v>
      </c>
      <c r="E199" s="339">
        <v>336856.95</v>
      </c>
      <c r="F199" s="336">
        <v>310114.21999999997</v>
      </c>
      <c r="G199" s="336">
        <v>293858</v>
      </c>
      <c r="H199" s="340">
        <v>270912.77</v>
      </c>
      <c r="I199" s="337"/>
      <c r="J199" s="285"/>
      <c r="K199" s="286"/>
    </row>
    <row r="200" spans="1:14" s="291" customFormat="1" ht="15" customHeight="1" x14ac:dyDescent="0.2">
      <c r="A200" s="293" t="s">
        <v>287</v>
      </c>
      <c r="B200" s="270" t="s">
        <v>288</v>
      </c>
      <c r="C200" s="270"/>
      <c r="D200" s="287">
        <v>0</v>
      </c>
      <c r="E200" s="311">
        <v>1655243.55</v>
      </c>
      <c r="F200" s="313">
        <v>1550572.25</v>
      </c>
      <c r="G200" s="336">
        <f>220951.21</f>
        <v>220951.21</v>
      </c>
      <c r="H200" s="342">
        <v>0</v>
      </c>
      <c r="I200" s="337"/>
      <c r="J200" s="285"/>
      <c r="K200" s="286"/>
    </row>
    <row r="201" spans="1:14" s="291" customFormat="1" ht="15" customHeight="1" x14ac:dyDescent="0.2">
      <c r="A201" s="293" t="s">
        <v>289</v>
      </c>
      <c r="B201" s="270" t="s">
        <v>290</v>
      </c>
      <c r="C201" s="270"/>
      <c r="D201" s="287"/>
      <c r="E201" s="266"/>
      <c r="F201" s="266"/>
      <c r="G201" s="266"/>
      <c r="H201" s="343"/>
      <c r="I201" s="337"/>
      <c r="J201" s="285"/>
      <c r="K201" s="286"/>
    </row>
    <row r="202" spans="1:14" s="291" customFormat="1" ht="15" customHeight="1" x14ac:dyDescent="0.2">
      <c r="A202" s="293" t="s">
        <v>291</v>
      </c>
      <c r="B202" s="270" t="s">
        <v>290</v>
      </c>
      <c r="C202" s="270"/>
      <c r="D202" s="287"/>
      <c r="E202" s="266"/>
      <c r="F202" s="266"/>
      <c r="G202" s="266"/>
      <c r="H202" s="343"/>
      <c r="I202" s="337"/>
      <c r="J202" s="285"/>
      <c r="K202" s="286"/>
    </row>
    <row r="203" spans="1:14" s="291" customFormat="1" ht="15" customHeight="1" x14ac:dyDescent="0.2">
      <c r="A203" s="344"/>
      <c r="B203" s="1"/>
      <c r="C203" s="1"/>
      <c r="D203" s="229"/>
      <c r="E203" s="229"/>
      <c r="F203" s="229"/>
      <c r="G203" s="345"/>
      <c r="H203" s="345"/>
      <c r="I203" s="345"/>
      <c r="J203" s="346"/>
      <c r="K203" s="346"/>
      <c r="L203" s="5"/>
      <c r="M203" s="5"/>
      <c r="N203" s="5"/>
    </row>
    <row r="204" spans="1:14" x14ac:dyDescent="0.2">
      <c r="A204" s="228" t="s">
        <v>292</v>
      </c>
    </row>
    <row r="205" spans="1:14" x14ac:dyDescent="0.2">
      <c r="A205" s="228" t="s">
        <v>293</v>
      </c>
    </row>
    <row r="206" spans="1:14" x14ac:dyDescent="0.2">
      <c r="A206" s="228" t="s">
        <v>294</v>
      </c>
    </row>
    <row r="207" spans="1:14" x14ac:dyDescent="0.2">
      <c r="A207" s="228" t="s">
        <v>295</v>
      </c>
    </row>
    <row r="208" spans="1:14" x14ac:dyDescent="0.2">
      <c r="A208" s="228" t="s">
        <v>296</v>
      </c>
    </row>
    <row r="209" spans="1:1" x14ac:dyDescent="0.2">
      <c r="A209" s="228" t="s">
        <v>297</v>
      </c>
    </row>
    <row r="210" spans="1:1" x14ac:dyDescent="0.2">
      <c r="A210" s="228" t="s">
        <v>298</v>
      </c>
    </row>
    <row r="211" spans="1:1" x14ac:dyDescent="0.2">
      <c r="A211" s="228" t="s">
        <v>299</v>
      </c>
    </row>
    <row r="212" spans="1:1" x14ac:dyDescent="0.2">
      <c r="A212" s="228" t="s">
        <v>300</v>
      </c>
    </row>
    <row r="213" spans="1:1" x14ac:dyDescent="0.2">
      <c r="A213" s="228" t="s">
        <v>301</v>
      </c>
    </row>
    <row r="214" spans="1:1" x14ac:dyDescent="0.2">
      <c r="A214" s="228" t="s">
        <v>302</v>
      </c>
    </row>
    <row r="215" spans="1:1" x14ac:dyDescent="0.2">
      <c r="A215" s="228" t="s">
        <v>303</v>
      </c>
    </row>
    <row r="216" spans="1:1" x14ac:dyDescent="0.2">
      <c r="A216" s="228" t="s">
        <v>304</v>
      </c>
    </row>
    <row r="217" spans="1:1" x14ac:dyDescent="0.2">
      <c r="A217" s="228" t="s">
        <v>305</v>
      </c>
    </row>
    <row r="218" spans="1:1" x14ac:dyDescent="0.2">
      <c r="A218" s="228" t="s">
        <v>306</v>
      </c>
    </row>
    <row r="219" spans="1:1" x14ac:dyDescent="0.2">
      <c r="A219" s="228" t="s">
        <v>307</v>
      </c>
    </row>
    <row r="220" spans="1:1" x14ac:dyDescent="0.2">
      <c r="A220" s="228" t="s">
        <v>308</v>
      </c>
    </row>
    <row r="221" spans="1:1" x14ac:dyDescent="0.2">
      <c r="A221" s="228" t="s">
        <v>309</v>
      </c>
    </row>
    <row r="222" spans="1:1" x14ac:dyDescent="0.2">
      <c r="A222" s="228" t="s">
        <v>310</v>
      </c>
    </row>
    <row r="223" spans="1:1" x14ac:dyDescent="0.2">
      <c r="A223" s="228"/>
    </row>
    <row r="224" spans="1:1" x14ac:dyDescent="0.2">
      <c r="A224" s="347" t="s">
        <v>311</v>
      </c>
    </row>
    <row r="225" spans="1:4" x14ac:dyDescent="0.2">
      <c r="A225" s="347"/>
    </row>
    <row r="226" spans="1:4" x14ac:dyDescent="0.2">
      <c r="A226" s="347"/>
    </row>
    <row r="227" spans="1:4" x14ac:dyDescent="0.2">
      <c r="A227" s="348" t="s">
        <v>312</v>
      </c>
      <c r="D227" s="2" t="s">
        <v>313</v>
      </c>
    </row>
    <row r="228" spans="1:4" x14ac:dyDescent="0.2">
      <c r="A228" s="348" t="s">
        <v>314</v>
      </c>
      <c r="D228" s="33" t="s">
        <v>315</v>
      </c>
    </row>
    <row r="229" spans="1:4" x14ac:dyDescent="0.2">
      <c r="A229" s="348" t="s">
        <v>316</v>
      </c>
      <c r="D229" s="33" t="s">
        <v>317</v>
      </c>
    </row>
    <row r="230" spans="1:4" x14ac:dyDescent="0.2">
      <c r="A230" s="228"/>
    </row>
    <row r="231" spans="1:4" x14ac:dyDescent="0.2">
      <c r="A231" s="228"/>
    </row>
    <row r="232" spans="1:4" x14ac:dyDescent="0.2">
      <c r="A232" s="228"/>
    </row>
    <row r="233" spans="1:4" x14ac:dyDescent="0.2">
      <c r="A233" s="228"/>
    </row>
    <row r="234" spans="1:4" x14ac:dyDescent="0.2">
      <c r="A234" s="228"/>
    </row>
  </sheetData>
  <mergeCells count="22">
    <mergeCell ref="B142:C142"/>
    <mergeCell ref="B148:C148"/>
    <mergeCell ref="B159:C159"/>
    <mergeCell ref="B170:C170"/>
    <mergeCell ref="B104:C104"/>
    <mergeCell ref="B109:C109"/>
    <mergeCell ref="B118:C118"/>
    <mergeCell ref="B128:C128"/>
    <mergeCell ref="B132:C132"/>
    <mergeCell ref="B140:C140"/>
    <mergeCell ref="B41:C41"/>
    <mergeCell ref="B47:C47"/>
    <mergeCell ref="B61:C61"/>
    <mergeCell ref="B87:C87"/>
    <mergeCell ref="B91:C91"/>
    <mergeCell ref="B99:C99"/>
    <mergeCell ref="A11:J11"/>
    <mergeCell ref="B15:C15"/>
    <mergeCell ref="B16:C16"/>
    <mergeCell ref="B34:C34"/>
    <mergeCell ref="B35:C35"/>
    <mergeCell ref="B36:C36"/>
  </mergeCells>
  <pageMargins left="0.43307086614173229" right="0.28000000000000003" top="0.31496062992125984" bottom="0.33" header="0.31496062992125984" footer="0.43"/>
  <pageSetup paperSize="9" scale="83" orientation="landscape" r:id="rId1"/>
  <rowBreaks count="2" manualBreakCount="2">
    <brk id="157" max="9" man="1"/>
    <brk id="193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PrevistoxReal CG</vt:lpstr>
      <vt:lpstr>'PrevistoxReal CG'!Area_de_impressao</vt:lpstr>
      <vt:lpstr>'PrevistoxReal CG'!Titulos_de_impressao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Melo</dc:creator>
  <cp:lastModifiedBy>Renata Melo</cp:lastModifiedBy>
  <dcterms:created xsi:type="dcterms:W3CDTF">2021-02-19T19:02:30Z</dcterms:created>
  <dcterms:modified xsi:type="dcterms:W3CDTF">2021-02-19T19:03:20Z</dcterms:modified>
</cp:coreProperties>
</file>