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nacotecaorgbr.sharepoint.com/sites/Pinacoteca-nucleos/Financeiro/Financeiro/Contrato de Gestão PT 2024/Previsto x Real/PO 2QUAD/"/>
    </mc:Choice>
  </mc:AlternateContent>
  <xr:revisionPtr revIDLastSave="0" documentId="8_{7425B60B-C8E0-4ECD-876C-84DD0192A0AD}" xr6:coauthVersionLast="47" xr6:coauthVersionMax="47" xr10:uidLastSave="{00000000-0000-0000-0000-000000000000}"/>
  <bookViews>
    <workbookView xWindow="-120" yWindow="-120" windowWidth="29040" windowHeight="15720" xr2:uid="{E2BC5256-4367-49C7-9B47-6F89010092B1}"/>
  </bookViews>
  <sheets>
    <sheet name="PrevistoxReal Cons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'PrevistoxReal Cons '!$A$15:$I$38</definedName>
    <definedName name="_Order1" hidden="1">255</definedName>
    <definedName name="_Order2" hidden="1">255</definedName>
    <definedName name="ActvFC_USD">#REF!</definedName>
    <definedName name="_xlnm.Print_Area" localSheetId="0">'PrevistoxReal Cons '!$A$1:$I$229</definedName>
    <definedName name="Assets" hidden="1">{#N/A,#N/A,FALSE,"capa";#N/A,#N/A,FALSE,"capa 2";#N/A,#N/A,FALSE,"BS";#N/A,#N/A,FALSE,"P &amp; L";#N/A,#N/A,FALSE,"DMPL";#N/A,#N/A,FALSE,"Doar";#N/A,#N/A,FALSE,"Translation";#N/A,#N/A,FALSE,"R$";#N/A,#N/A,FALSE,"US$"}</definedName>
    <definedName name="aumentoemprestimo">[1]Empréstimo!$C$5</definedName>
    <definedName name="aumentoemprestimodolar">[1]Empréstimo!$C$12</definedName>
    <definedName name="_xlnm.Database">#REF!</definedName>
    <definedName name="BuiltIn_AutoFilter___3">[2]EMABERTO!#REF!</definedName>
    <definedName name="Comparativo" hidden="1">{#N/A,#N/A,FALSE,"Capas";#N/A,#N/A,FALSE,"BS";#N/A,#N/A,FALSE,"DMPL";#N/A,#N/A,FALSE,"Doar";#N/A,#N/A,FALSE,"Translation";#N/A,#N/A,FALSE,"R$";#N/A,#N/A,FALSE,"US$"}</definedName>
    <definedName name="Comparison">#REF!</definedName>
    <definedName name="Cópia_de_ARTICLE">#REF!</definedName>
    <definedName name="curr_period">[3]Details!$E$53</definedName>
    <definedName name="Currency">[3]Details!$B$11</definedName>
    <definedName name="CurrRange">[4]Currency!$A$3:$C$69</definedName>
    <definedName name="CurrSelect">[4]Currency!$C$71</definedName>
    <definedName name="Data_check">#REF!</definedName>
    <definedName name="depreciação">'[1]R$ TOTAL'!$Q$72</definedName>
    <definedName name="depreciaçãodolar">'[1]US$ TOTAL'!$Q$72</definedName>
    <definedName name="Division">[3]Details!$B$6</definedName>
    <definedName name="dol">#REF!</definedName>
    <definedName name="Excel_BuiltIn_Print_Area_0">#REF!</definedName>
    <definedName name="Excel_BuiltIn_Print_Titles_0">#REF!</definedName>
    <definedName name="fin_year">[3]Details!$G$53</definedName>
    <definedName name="FXRate">#REF!</definedName>
    <definedName name="juremprestimo">[1]Empréstimo!$C$6</definedName>
    <definedName name="Markets">#REF!</definedName>
    <definedName name="Month_Forecast_US">#REF!</definedName>
    <definedName name="month_no">#REF!</definedName>
    <definedName name="Novab">#REF!</definedName>
    <definedName name="Novac">#REF!</definedName>
    <definedName name="opopop" hidden="1">{#N/A,#N/A,TRUE,"index";#N/A,#N/A,TRUE,"Summary";#N/A,#N/A,TRUE,"Continuing Business";#N/A,#N/A,TRUE,"Disposals";#N/A,#N/A,TRUE,"Acquisitions";#N/A,#N/A,TRUE,"Actual &amp; Plan Reconciliation"}</definedName>
    <definedName name="period">#REF!</definedName>
    <definedName name="Phased_Home_US">'[5]JWR 5 Ext'!#REF!</definedName>
    <definedName name="PLT_Truck">#REF!</definedName>
    <definedName name="PRINT_TITLES_MI">#REF!</definedName>
    <definedName name="Release_no">[6]Details!#REF!</definedName>
    <definedName name="sa" hidden="1">{#N/A,#N/A,FALSE,"capa";#N/A,#N/A,FALSE,"capa 2";#N/A,#N/A,FALSE,"BS";#N/A,#N/A,FALSE,"P &amp; L";#N/A,#N/A,FALSE,"DMPL";#N/A,#N/A,FALSE,"Doar";#N/A,#N/A,FALSE,"Translation";#N/A,#N/A,FALSE,"R$";#N/A,#N/A,FALSE,"US$"}</definedName>
    <definedName name="sales_ico_country_uk">#REF!</definedName>
    <definedName name="Sales_ico_country_US">#REF!</definedName>
    <definedName name="Sales_Ico_UK">#REF!</definedName>
    <definedName name="Sales_ico_US">#REF!</definedName>
    <definedName name="SALES_SUPPLEMENT_US">'[5]JWR 3 Ext'!#REF!</definedName>
    <definedName name="Scale">[3]Details!$B$12</definedName>
    <definedName name="sch_p06a">'[7]PRP pack'!#REF!</definedName>
    <definedName name="sch_p06b">'[7]PRP pack'!#REF!</definedName>
    <definedName name="sch_p12">#REF!</definedName>
    <definedName name="subdiv">[3]Details!$B$7</definedName>
    <definedName name="title">[3]Details!$B$2</definedName>
    <definedName name="_xlnm.Print_Titles" localSheetId="0">'PrevistoxReal Cons '!$1:$12</definedName>
    <definedName name="unit_code">[3]Details!$B$9</definedName>
    <definedName name="unit_name">[3]Details!$B$8</definedName>
    <definedName name="Validations">#REF!</definedName>
    <definedName name="vcemprestimo">[1]Empréstimo!$F$8</definedName>
    <definedName name="Version">[3]Details!$B$18</definedName>
    <definedName name="wrn.american._.risk._.97." hidden="1">{#N/A,#N/A,FALSE,"capa";#N/A,#N/A,FALSE,"capa 2";#N/A,#N/A,FALSE,"BS";#N/A,#N/A,FALSE,"P &amp; L";#N/A,#N/A,FALSE,"DMPL";#N/A,#N/A,FALSE,"Doar";#N/A,#N/A,FALSE,"Translation";#N/A,#N/A,FALSE,"R$";#N/A,#N/A,FALSE,"US$"}</definedName>
    <definedName name="wrn.bal898." hidden="1">{#N/A,#N/A,FALSE,"BALANÇO";#N/A,#N/A,FALSE,"RESULT";#N/A,#N/A,FALSE,"DMPL";#N/A,#N/A,FALSE,"DOAR";#N/A,#N/A,FALSE,"capas"}</definedName>
    <definedName name="wrn.Brafs97." hidden="1">{#N/A,#N/A,FALSE,"Capas";#N/A,#N/A,FALSE,"BS";#N/A,#N/A,FALSE,"P &amp; L";#N/A,#N/A,FALSE,"DMPL";#N/A,#N/A,FALSE,"Doar";#N/A,#N/A,FALSE,"Translation";#N/A,#N/A,FALSE,"R$";#N/A,#N/A,FALSE,"US$";#N/A,#N/A,FALSE,"Marketable"}</definedName>
    <definedName name="wrn.fihi." hidden="1">{"FLASH",#N/A,TRUE,"LOCAL CCY"}</definedName>
    <definedName name="wrn.FLASHP." hidden="1">{"FLASH",#N/A,TRUE,"LOCAL CCY"}</definedName>
    <definedName name="wrn.FS1198.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97." hidden="1">{#N/A,#N/A,FALSE,"Capa";#N/A,#N/A,FALSE,"Balance";#N/A,#N/A,FALSE,"P&amp; L";#N/A,#N/A,FALSE,"DMPL";#N/A,#N/A,FALSE,"DOAR";#N/A,#N/A,FALSE,"G &amp; L";#N/A,#N/A,FALSE,"P&amp;L R$";#N/A,#N/A,FALSE,"P&amp;L US";#N/A,#N/A,FALSE,"Custo R$";#N/A,#N/A,FALSE,"Custo US$"}</definedName>
    <definedName name="wrn.Johnson." hidden="1">{#N/A,#N/A,FALSE,"CAPAS";#N/A,#N/A,FALSE,"Assets";#N/A,#N/A,FALSE,"Lialibilites";#N/A,#N/A,FALSE,"P&amp;L";#N/A,#N/A,FALSE,"DMPL";#N/A,#N/A,FALSE,"DOAR";#N/A,#N/A,FALSE,"G &amp; L";#N/A,#N/A,FALSE,"P&amp;L R$";#N/A,#N/A,FALSE,"P&amp;L US"}</definedName>
    <definedName name="wrn.REPORT." hidden="1">{#N/A,#N/A,TRUE,"index";#N/A,#N/A,TRUE,"Summary";#N/A,#N/A,TRUE,"Continuing Business";#N/A,#N/A,TRUE,"Disposals";#N/A,#N/A,TRUE,"Acquisitions";#N/A,#N/A,TRUE,"Actual &amp; Plan Reconciliation"}</definedName>
    <definedName name="wrn.sbafs97." hidden="1">{#N/A,#N/A,FALSE,"Capas";#N/A,#N/A,FALSE,"BS";#N/A,#N/A,FALSE,"P &amp; L";#N/A,#N/A,FALSE,"DMPL";#N/A,#N/A,FALSE,"Doar";#N/A,#N/A,FALSE,"Translation";#N/A,#N/A,FALSE,"R$";#N/A,#N/A,FALSE,"US$"}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0" i="1" l="1"/>
  <c r="F208" i="1" s="1"/>
  <c r="G208" i="1"/>
  <c r="E208" i="1"/>
  <c r="F207" i="1"/>
  <c r="F206" i="1" s="1"/>
  <c r="F205" i="1"/>
  <c r="G204" i="1"/>
  <c r="E204" i="1"/>
  <c r="E202" i="1"/>
  <c r="E201" i="1"/>
  <c r="G198" i="1"/>
  <c r="F192" i="1"/>
  <c r="E192" i="1"/>
  <c r="E185" i="1" s="1"/>
  <c r="H191" i="1"/>
  <c r="H190" i="1"/>
  <c r="H189" i="1"/>
  <c r="H188" i="1"/>
  <c r="H187" i="1"/>
  <c r="F186" i="1"/>
  <c r="G185" i="1"/>
  <c r="D185" i="1"/>
  <c r="H183" i="1"/>
  <c r="H182" i="1"/>
  <c r="H181" i="1"/>
  <c r="H180" i="1"/>
  <c r="H179" i="1"/>
  <c r="H178" i="1"/>
  <c r="H177" i="1"/>
  <c r="G176" i="1"/>
  <c r="F176" i="1"/>
  <c r="E176" i="1"/>
  <c r="H174" i="1"/>
  <c r="H173" i="1"/>
  <c r="H172" i="1"/>
  <c r="H171" i="1"/>
  <c r="F170" i="1"/>
  <c r="H170" i="1" s="1"/>
  <c r="F169" i="1"/>
  <c r="F167" i="1" s="1"/>
  <c r="H168" i="1"/>
  <c r="G167" i="1"/>
  <c r="E167" i="1"/>
  <c r="H159" i="1"/>
  <c r="I159" i="1" s="1"/>
  <c r="H158" i="1"/>
  <c r="I158" i="1" s="1"/>
  <c r="H157" i="1"/>
  <c r="I157" i="1" s="1"/>
  <c r="G155" i="1"/>
  <c r="F155" i="1"/>
  <c r="E155" i="1"/>
  <c r="I153" i="1"/>
  <c r="H153" i="1"/>
  <c r="H152" i="1"/>
  <c r="I152" i="1" s="1"/>
  <c r="H151" i="1"/>
  <c r="I151" i="1" s="1"/>
  <c r="H150" i="1"/>
  <c r="I150" i="1" s="1"/>
  <c r="G148" i="1"/>
  <c r="F148" i="1"/>
  <c r="H149" i="1"/>
  <c r="D148" i="1"/>
  <c r="H145" i="1"/>
  <c r="I145" i="1" s="1"/>
  <c r="H144" i="1"/>
  <c r="I144" i="1" s="1"/>
  <c r="H143" i="1"/>
  <c r="I143" i="1" s="1"/>
  <c r="H142" i="1"/>
  <c r="I142" i="1" s="1"/>
  <c r="H141" i="1"/>
  <c r="I141" i="1" s="1"/>
  <c r="H140" i="1"/>
  <c r="I140" i="1" s="1"/>
  <c r="G138" i="1"/>
  <c r="F138" i="1"/>
  <c r="E138" i="1"/>
  <c r="D138" i="1"/>
  <c r="I137" i="1"/>
  <c r="H137" i="1"/>
  <c r="H136" i="1"/>
  <c r="I136" i="1" s="1"/>
  <c r="H135" i="1"/>
  <c r="I135" i="1" s="1"/>
  <c r="H134" i="1"/>
  <c r="H133" i="1" s="1"/>
  <c r="G133" i="1"/>
  <c r="F133" i="1"/>
  <c r="F126" i="1" s="1"/>
  <c r="E133" i="1"/>
  <c r="E126" i="1" s="1"/>
  <c r="D133" i="1"/>
  <c r="H132" i="1"/>
  <c r="H131" i="1"/>
  <c r="H130" i="1"/>
  <c r="I130" i="1" s="1"/>
  <c r="H129" i="1"/>
  <c r="I129" i="1" s="1"/>
  <c r="G126" i="1"/>
  <c r="H127" i="1"/>
  <c r="I127" i="1" s="1"/>
  <c r="D126" i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F117" i="1"/>
  <c r="H119" i="1"/>
  <c r="H118" i="1"/>
  <c r="I118" i="1" s="1"/>
  <c r="E117" i="1"/>
  <c r="D117" i="1"/>
  <c r="H116" i="1"/>
  <c r="I116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G104" i="1"/>
  <c r="F104" i="1"/>
  <c r="E104" i="1"/>
  <c r="D104" i="1"/>
  <c r="H102" i="1"/>
  <c r="I102" i="1" s="1"/>
  <c r="H101" i="1"/>
  <c r="I101" i="1" s="1"/>
  <c r="H100" i="1"/>
  <c r="I100" i="1" s="1"/>
  <c r="H99" i="1"/>
  <c r="I99" i="1" s="1"/>
  <c r="G96" i="1"/>
  <c r="F96" i="1"/>
  <c r="H97" i="1"/>
  <c r="D96" i="1"/>
  <c r="H95" i="1"/>
  <c r="I95" i="1" s="1"/>
  <c r="I94" i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I87" i="1"/>
  <c r="H86" i="1"/>
  <c r="I86" i="1" s="1"/>
  <c r="H85" i="1"/>
  <c r="I85" i="1" s="1"/>
  <c r="E81" i="1"/>
  <c r="H83" i="1"/>
  <c r="I83" i="1" s="1"/>
  <c r="G81" i="1"/>
  <c r="G79" i="1" s="1"/>
  <c r="F81" i="1"/>
  <c r="F79" i="1" s="1"/>
  <c r="H80" i="1"/>
  <c r="I80" i="1" s="1"/>
  <c r="D79" i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G70" i="1"/>
  <c r="F70" i="1"/>
  <c r="H72" i="1"/>
  <c r="H71" i="1"/>
  <c r="I71" i="1" s="1"/>
  <c r="D70" i="1"/>
  <c r="H69" i="1"/>
  <c r="I69" i="1" s="1"/>
  <c r="G67" i="1"/>
  <c r="F67" i="1"/>
  <c r="E67" i="1"/>
  <c r="D67" i="1"/>
  <c r="H66" i="1"/>
  <c r="I66" i="1" s="1"/>
  <c r="G64" i="1"/>
  <c r="F64" i="1"/>
  <c r="H65" i="1"/>
  <c r="E64" i="1"/>
  <c r="D64" i="1"/>
  <c r="H63" i="1"/>
  <c r="I63" i="1" s="1"/>
  <c r="H62" i="1"/>
  <c r="F61" i="1"/>
  <c r="E61" i="1"/>
  <c r="D61" i="1"/>
  <c r="H60" i="1"/>
  <c r="I60" i="1" s="1"/>
  <c r="H59" i="1"/>
  <c r="G58" i="1"/>
  <c r="F58" i="1"/>
  <c r="E58" i="1"/>
  <c r="D58" i="1"/>
  <c r="E52" i="1"/>
  <c r="H52" i="1" s="1"/>
  <c r="I52" i="1" s="1"/>
  <c r="F51" i="1"/>
  <c r="D51" i="1"/>
  <c r="H50" i="1"/>
  <c r="I50" i="1" s="1"/>
  <c r="H49" i="1"/>
  <c r="I49" i="1" s="1"/>
  <c r="H48" i="1"/>
  <c r="I48" i="1" s="1"/>
  <c r="H47" i="1"/>
  <c r="I47" i="1" s="1"/>
  <c r="G45" i="1"/>
  <c r="G43" i="1" s="1"/>
  <c r="F45" i="1"/>
  <c r="F43" i="1" s="1"/>
  <c r="H46" i="1"/>
  <c r="I46" i="1" s="1"/>
  <c r="D45" i="1"/>
  <c r="D43" i="1" s="1"/>
  <c r="H44" i="1"/>
  <c r="I44" i="1" s="1"/>
  <c r="H38" i="1"/>
  <c r="I38" i="1" s="1"/>
  <c r="H37" i="1"/>
  <c r="I37" i="1" s="1"/>
  <c r="H36" i="1"/>
  <c r="I36" i="1" s="1"/>
  <c r="H35" i="1"/>
  <c r="I35" i="1" s="1"/>
  <c r="H34" i="1"/>
  <c r="I34" i="1" s="1"/>
  <c r="E33" i="1"/>
  <c r="H33" i="1" s="1"/>
  <c r="I33" i="1" s="1"/>
  <c r="F32" i="1"/>
  <c r="F31" i="1" s="1"/>
  <c r="F30" i="1" s="1"/>
  <c r="G31" i="1"/>
  <c r="G30" i="1" s="1"/>
  <c r="D31" i="1"/>
  <c r="D30" i="1" s="1"/>
  <c r="H29" i="1"/>
  <c r="I29" i="1" s="1"/>
  <c r="F28" i="1"/>
  <c r="F27" i="1" s="1"/>
  <c r="E27" i="1"/>
  <c r="D27" i="1"/>
  <c r="H26" i="1"/>
  <c r="I26" i="1" s="1"/>
  <c r="G25" i="1"/>
  <c r="G16" i="1" s="1"/>
  <c r="D25" i="1"/>
  <c r="I25" i="1" s="1"/>
  <c r="I24" i="1"/>
  <c r="H23" i="1"/>
  <c r="I23" i="1" s="1"/>
  <c r="H22" i="1"/>
  <c r="I22" i="1" s="1"/>
  <c r="F21" i="1"/>
  <c r="H21" i="1" s="1"/>
  <c r="F202" i="1" s="1"/>
  <c r="H20" i="1"/>
  <c r="I20" i="1" s="1"/>
  <c r="F19" i="1"/>
  <c r="H19" i="1" s="1"/>
  <c r="E18" i="1"/>
  <c r="D18" i="1"/>
  <c r="D16" i="1" s="1"/>
  <c r="F17" i="1"/>
  <c r="E17" i="1"/>
  <c r="D57" i="1" l="1"/>
  <c r="H27" i="1"/>
  <c r="I133" i="1"/>
  <c r="H167" i="1"/>
  <c r="D103" i="1"/>
  <c r="F185" i="1"/>
  <c r="E16" i="1"/>
  <c r="E31" i="1"/>
  <c r="E30" i="1" s="1"/>
  <c r="H30" i="1" s="1"/>
  <c r="I30" i="1" s="1"/>
  <c r="F57" i="1"/>
  <c r="H185" i="1"/>
  <c r="H176" i="1"/>
  <c r="D56" i="1"/>
  <c r="D55" i="1" s="1"/>
  <c r="D161" i="1" s="1"/>
  <c r="E57" i="1"/>
  <c r="F204" i="1"/>
  <c r="I27" i="1"/>
  <c r="E51" i="1"/>
  <c r="F18" i="1"/>
  <c r="F16" i="1" s="1"/>
  <c r="I62" i="1"/>
  <c r="H61" i="1"/>
  <c r="I61" i="1" s="1"/>
  <c r="H70" i="1"/>
  <c r="I70" i="1" s="1"/>
  <c r="I72" i="1"/>
  <c r="H81" i="1"/>
  <c r="E79" i="1"/>
  <c r="I97" i="1"/>
  <c r="H148" i="1"/>
  <c r="I148" i="1" s="1"/>
  <c r="I149" i="1"/>
  <c r="H64" i="1"/>
  <c r="I64" i="1" s="1"/>
  <c r="I65" i="1"/>
  <c r="E103" i="1"/>
  <c r="F103" i="1"/>
  <c r="H117" i="1"/>
  <c r="I117" i="1" s="1"/>
  <c r="I119" i="1"/>
  <c r="I19" i="1"/>
  <c r="H18" i="1"/>
  <c r="I18" i="1" s="1"/>
  <c r="F201" i="1"/>
  <c r="H58" i="1"/>
  <c r="G117" i="1"/>
  <c r="G103" i="1" s="1"/>
  <c r="E200" i="1"/>
  <c r="H82" i="1"/>
  <c r="I82" i="1" s="1"/>
  <c r="I134" i="1"/>
  <c r="I21" i="1"/>
  <c r="I59" i="1"/>
  <c r="G61" i="1"/>
  <c r="G57" i="1" s="1"/>
  <c r="E96" i="1"/>
  <c r="H98" i="1"/>
  <c r="I98" i="1" s="1"/>
  <c r="E148" i="1"/>
  <c r="H156" i="1"/>
  <c r="H169" i="1"/>
  <c r="H192" i="1"/>
  <c r="H17" i="1"/>
  <c r="I17" i="1" s="1"/>
  <c r="H32" i="1"/>
  <c r="E45" i="1"/>
  <c r="H45" i="1" s="1"/>
  <c r="H68" i="1"/>
  <c r="E70" i="1"/>
  <c r="H84" i="1"/>
  <c r="I84" i="1" s="1"/>
  <c r="H105" i="1"/>
  <c r="H128" i="1"/>
  <c r="H139" i="1"/>
  <c r="H51" i="1"/>
  <c r="I51" i="1" s="1"/>
  <c r="H28" i="1"/>
  <c r="I28" i="1" s="1"/>
  <c r="H186" i="1"/>
  <c r="H16" i="1" l="1"/>
  <c r="I16" i="1" s="1"/>
  <c r="E56" i="1"/>
  <c r="E55" i="1" s="1"/>
  <c r="G56" i="1"/>
  <c r="G55" i="1" s="1"/>
  <c r="G161" i="1" s="1"/>
  <c r="E43" i="1"/>
  <c r="H67" i="1"/>
  <c r="I67" i="1" s="1"/>
  <c r="I68" i="1"/>
  <c r="I32" i="1"/>
  <c r="H31" i="1"/>
  <c r="I31" i="1" s="1"/>
  <c r="H57" i="1"/>
  <c r="I58" i="1"/>
  <c r="H138" i="1"/>
  <c r="I138" i="1" s="1"/>
  <c r="I139" i="1"/>
  <c r="I81" i="1"/>
  <c r="H79" i="1"/>
  <c r="I79" i="1" s="1"/>
  <c r="H104" i="1"/>
  <c r="I105" i="1"/>
  <c r="H96" i="1"/>
  <c r="I96" i="1" s="1"/>
  <c r="I128" i="1"/>
  <c r="H126" i="1"/>
  <c r="I126" i="1" s="1"/>
  <c r="H155" i="1"/>
  <c r="I155" i="1" s="1"/>
  <c r="I156" i="1"/>
  <c r="F56" i="1"/>
  <c r="F55" i="1" s="1"/>
  <c r="F161" i="1" s="1"/>
  <c r="E198" i="1"/>
  <c r="F200" i="1"/>
  <c r="F198" i="1" s="1"/>
  <c r="I57" i="1" l="1"/>
  <c r="I104" i="1"/>
  <c r="H103" i="1"/>
  <c r="I103" i="1" s="1"/>
  <c r="E161" i="1"/>
  <c r="H43" i="1"/>
  <c r="I43" i="1" l="1"/>
  <c r="H56" i="1"/>
  <c r="H55" i="1" l="1"/>
  <c r="I56" i="1"/>
  <c r="I55" i="1" l="1"/>
  <c r="H1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Renata Melo</author>
  </authors>
  <commentList>
    <comment ref="D63" authorId="0" shapeId="0" xr:uid="{295A7BA9-2883-41AD-B3EE-B8D31767A435}">
      <text>
        <r>
          <rPr>
            <b/>
            <sz val="9"/>
            <color indexed="81"/>
            <rFont val="Segoe UI"/>
            <family val="2"/>
          </rPr>
          <t>Ajuste plano museologico: 138k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97" authorId="0" shapeId="0" xr:uid="{02CB2A1B-D401-422D-8DAA-0C063FB9867B}">
      <text>
        <r>
          <rPr>
            <b/>
            <sz val="9"/>
            <color indexed="81"/>
            <rFont val="Segoe UI"/>
            <family val="2"/>
          </rPr>
          <t>Renata Melo:</t>
        </r>
        <r>
          <rPr>
            <sz val="9"/>
            <color indexed="81"/>
            <rFont val="Segoe UI"/>
            <family val="2"/>
          </rPr>
          <t xml:space="preserve">
Valor 249.075 referente troca de chiller alocado nos investimentos
</t>
        </r>
      </text>
    </comment>
    <comment ref="D127" authorId="0" shapeId="0" xr:uid="{799CC373-4B28-4474-9FC2-390A3D547FFD}">
      <text>
        <r>
          <rPr>
            <sz val="9"/>
            <color indexed="81"/>
            <rFont val="Segoe UI"/>
            <family val="2"/>
          </rPr>
          <t>AULAS/PALESTRAS
EDUCADOR/MONITOR
INTERPRETE</t>
        </r>
      </text>
    </comment>
  </commentList>
</comments>
</file>

<file path=xl/sharedStrings.xml><?xml version="1.0" encoding="utf-8"?>
<sst xmlns="http://schemas.openxmlformats.org/spreadsheetml/2006/main" count="408" uniqueCount="364">
  <si>
    <t>Exercício:</t>
  </si>
  <si>
    <t>UGE:</t>
  </si>
  <si>
    <t>UPPM</t>
  </si>
  <si>
    <t>Organização Social: Associação Pinacoteca Arte e Cultura - APAC</t>
  </si>
  <si>
    <t>Objeto Contratual:</t>
  </si>
  <si>
    <t>Pinacoteca e anexos, e MRSP</t>
  </si>
  <si>
    <t>Contrato de Gestão nº:</t>
  </si>
  <si>
    <t>005/2023</t>
  </si>
  <si>
    <t>1. RELATÓRIO GERENCIAL DE ORÇAMENTO PREVISTO x REALIZADO</t>
  </si>
  <si>
    <t>I - REPASSES PÚBLICOS</t>
  </si>
  <si>
    <t>RECURSOS PÚBLICOS VINCULADOS AO CONTRATO DE GESTÃO</t>
  </si>
  <si>
    <t>CG</t>
  </si>
  <si>
    <t>1º Quad</t>
  </si>
  <si>
    <t>2º Quad</t>
  </si>
  <si>
    <t>3º Quad</t>
  </si>
  <si>
    <t>Realizado</t>
  </si>
  <si>
    <t xml:space="preserve">Real x Orçado </t>
  </si>
  <si>
    <t>Recursos Líquidos para o Contato de Gestão</t>
  </si>
  <si>
    <t>1.1</t>
  </si>
  <si>
    <t>Repasse do Contrato de Gestão</t>
  </si>
  <si>
    <t>1.2</t>
  </si>
  <si>
    <t>Movimentação de Recursos Reservados</t>
  </si>
  <si>
    <t>1.2.1</t>
  </si>
  <si>
    <t xml:space="preserve">Constituição Recursos de Reserva </t>
  </si>
  <si>
    <t>1.2.2</t>
  </si>
  <si>
    <t xml:space="preserve">Reversão Recursos de Reserva </t>
  </si>
  <si>
    <t>1.2.3</t>
  </si>
  <si>
    <t>Constituição Recursos de Contingência</t>
  </si>
  <si>
    <t>1.2.4</t>
  </si>
  <si>
    <t>Reversão de Recursos de Contingência</t>
  </si>
  <si>
    <t>1.2.5</t>
  </si>
  <si>
    <t>Constituição de outras reservas  (especificar)</t>
  </si>
  <si>
    <t>1.2.6</t>
  </si>
  <si>
    <t>Reversão de outras reservas (especificar)</t>
  </si>
  <si>
    <t>1.3</t>
  </si>
  <si>
    <t>Outras Receitas</t>
  </si>
  <si>
    <t>1.3.1</t>
  </si>
  <si>
    <t>Saldos anteriores para a utilização no exercício</t>
  </si>
  <si>
    <t>Recursos de Investimento do Contrato de Gestão</t>
  </si>
  <si>
    <t>2.1</t>
  </si>
  <si>
    <t>Investimento do CG</t>
  </si>
  <si>
    <t>2.2.</t>
  </si>
  <si>
    <t>Saldo de investimento do CG do exercicio anterior</t>
  </si>
  <si>
    <t>Recursos de Captação não Incentivada/Incentivada</t>
  </si>
  <si>
    <t>3.1</t>
  </si>
  <si>
    <t>Recurso de Captação Voltado a Custeio</t>
  </si>
  <si>
    <t>3.1.1</t>
  </si>
  <si>
    <t>Captação de Recursos Operacionais (bilheteria, cessão onerosa de espaço, loja, café, doações, estacionamento, etc)</t>
  </si>
  <si>
    <t>3.1.2</t>
  </si>
  <si>
    <t>Captação de Recursos Incentivados</t>
  </si>
  <si>
    <t>3.1.3</t>
  </si>
  <si>
    <t xml:space="preserve">Trabalho Voluntário </t>
  </si>
  <si>
    <t>3.1.4</t>
  </si>
  <si>
    <t>Parcerias</t>
  </si>
  <si>
    <t>3.1.5</t>
  </si>
  <si>
    <t>Saldo de exercicio anterior - captação recursos incentivados</t>
  </si>
  <si>
    <t>3.2</t>
  </si>
  <si>
    <t>Recursos de Captação voltados a Investimentos</t>
  </si>
  <si>
    <t>3.3</t>
  </si>
  <si>
    <t>Saldo de captação de exercício anterior - captação</t>
  </si>
  <si>
    <t>II - DEMONSTRAÇÃO DE RESULTADO</t>
  </si>
  <si>
    <t>RECEITAS APROPRIADAS VINCULADAS AO CONTRATO DE GESTÃO</t>
  </si>
  <si>
    <t>Orçamento
Anual</t>
  </si>
  <si>
    <t>4</t>
  </si>
  <si>
    <t>Total de Receitas Vinculadas ao Plano de Trabalho</t>
  </si>
  <si>
    <t>4.1</t>
  </si>
  <si>
    <t>Receita de Repasse Apropriada</t>
  </si>
  <si>
    <t>4.2</t>
  </si>
  <si>
    <t>Receita de Captação Apropriada</t>
  </si>
  <si>
    <t>4.2.1</t>
  </si>
  <si>
    <t>4.2.2</t>
  </si>
  <si>
    <t>4.2.3</t>
  </si>
  <si>
    <t>Trabalho Voluntário e Gratuidades</t>
  </si>
  <si>
    <t>4.2.4</t>
  </si>
  <si>
    <t>4.3</t>
  </si>
  <si>
    <t>Total das Receitas Financeiras</t>
  </si>
  <si>
    <t>5</t>
  </si>
  <si>
    <t>Total de Receitas para realização de metas condicionadas</t>
  </si>
  <si>
    <t>5.1</t>
  </si>
  <si>
    <t>Receitas para realização de metas condicionadas</t>
  </si>
  <si>
    <t>DESPESAS DO CONTRATO DE GESTÃO</t>
  </si>
  <si>
    <t>6.</t>
  </si>
  <si>
    <t>Total de Despesas</t>
  </si>
  <si>
    <t>6.1</t>
  </si>
  <si>
    <t>Subtotal Despesas</t>
  </si>
  <si>
    <t>6.1.1</t>
  </si>
  <si>
    <t>Salários, encargos e benefícios</t>
  </si>
  <si>
    <t>6.1.1.1</t>
  </si>
  <si>
    <t>Diretoria</t>
  </si>
  <si>
    <t>6.1.1.1.1</t>
  </si>
  <si>
    <t>Área Meio</t>
  </si>
  <si>
    <t>6.1.1.1.2</t>
  </si>
  <si>
    <t>Área Fim</t>
  </si>
  <si>
    <t>6.1.1.2</t>
  </si>
  <si>
    <t>Demais Funcionários</t>
  </si>
  <si>
    <t>6.1.1.2.1</t>
  </si>
  <si>
    <t>6.1.1.2.2</t>
  </si>
  <si>
    <t>6.1.1.3</t>
  </si>
  <si>
    <t>Estagiários</t>
  </si>
  <si>
    <t>6.1.1.3.1</t>
  </si>
  <si>
    <t>6.1.1.3.2</t>
  </si>
  <si>
    <t>6.1.1.4</t>
  </si>
  <si>
    <t>Aprendizes</t>
  </si>
  <si>
    <t>6.1.1.4.1</t>
  </si>
  <si>
    <t>6.1.1.4.2</t>
  </si>
  <si>
    <t>6.1.2</t>
  </si>
  <si>
    <t>Prestadores de serviços (Consultorias/Assessorias/Pessoas Jurídicas) - Área Meio</t>
  </si>
  <si>
    <t>6.1.2.1</t>
  </si>
  <si>
    <t>Limpeza</t>
  </si>
  <si>
    <t>6.1.2.2</t>
  </si>
  <si>
    <t>Vigilância / portaria / segurança</t>
  </si>
  <si>
    <t>6.1.2.3</t>
  </si>
  <si>
    <t>Jurídica</t>
  </si>
  <si>
    <t>6.1.2.4</t>
  </si>
  <si>
    <t>Informática</t>
  </si>
  <si>
    <t>6.1.2.5</t>
  </si>
  <si>
    <t>Administrativa / RH</t>
  </si>
  <si>
    <t>6.1.2.6</t>
  </si>
  <si>
    <t>Contábil</t>
  </si>
  <si>
    <t>6.1.2.7</t>
  </si>
  <si>
    <t>Auditoria</t>
  </si>
  <si>
    <t>6.1.2.8</t>
  </si>
  <si>
    <t>Outras Despesas (linha de ética)</t>
  </si>
  <si>
    <t>6.1.3</t>
  </si>
  <si>
    <t>Custos Administrativos e Institucionais</t>
  </si>
  <si>
    <t>6.1.3.1</t>
  </si>
  <si>
    <t>Locação de bens imóveis</t>
  </si>
  <si>
    <t>6.1.3.2</t>
  </si>
  <si>
    <t>Utilidades públicas</t>
  </si>
  <si>
    <t>6.1.3.2.1</t>
  </si>
  <si>
    <t>Agua</t>
  </si>
  <si>
    <t>6.1.3.2.2</t>
  </si>
  <si>
    <t>Energia eletrica</t>
  </si>
  <si>
    <t>6.1.3.2.3</t>
  </si>
  <si>
    <t>Gas</t>
  </si>
  <si>
    <t>6.1.3.2.4</t>
  </si>
  <si>
    <t>Internet</t>
  </si>
  <si>
    <t>6.1.3.2.5</t>
  </si>
  <si>
    <t>Telefonia</t>
  </si>
  <si>
    <t>6.1.3.2.6</t>
  </si>
  <si>
    <t>Outros (descrever)</t>
  </si>
  <si>
    <t>6.1.3.3</t>
  </si>
  <si>
    <t>Uniformes e EPIs</t>
  </si>
  <si>
    <t>6.1.3.4</t>
  </si>
  <si>
    <t>Viagens, transportes e Estadias</t>
  </si>
  <si>
    <t>6.1.3.5</t>
  </si>
  <si>
    <t>Material de consumo, escritório e limpeza</t>
  </si>
  <si>
    <t>6.1.3.6</t>
  </si>
  <si>
    <t>Despesas tributárias e financeiras</t>
  </si>
  <si>
    <t>6.1.3.7</t>
  </si>
  <si>
    <t>Despesas diversas (correio, xerox, motoboy, etc.)</t>
  </si>
  <si>
    <t>6.1.3.8</t>
  </si>
  <si>
    <t>Treinamento de Funcionários</t>
  </si>
  <si>
    <t>6.1.3.9</t>
  </si>
  <si>
    <t>Prevenção Covid-19</t>
  </si>
  <si>
    <t>6.1.3.10</t>
  </si>
  <si>
    <t>Outras Despesas</t>
  </si>
  <si>
    <t>6.1.4</t>
  </si>
  <si>
    <t>Programa de Edificações: Conservação, Manutenção e Segurança</t>
  </si>
  <si>
    <t>6.1.4.1</t>
  </si>
  <si>
    <t>Conservação e manutenção de edificações (reparos, pinturas,  limpeza  de  caixa  de  água,  limpeza  de calhas, etc.)</t>
  </si>
  <si>
    <t>6.1.4.2</t>
  </si>
  <si>
    <t>Sistema de Monitoramento de Segurança e AVCB</t>
  </si>
  <si>
    <t>6.1.4.3</t>
  </si>
  <si>
    <t>Equipamentos / Implementos</t>
  </si>
  <si>
    <t>6.1.4.4</t>
  </si>
  <si>
    <t>Seguros (predial, incêndio, etc.)</t>
  </si>
  <si>
    <t>6.1.4.5</t>
  </si>
  <si>
    <t>Alvará de funcionamento de local de reunião</t>
  </si>
  <si>
    <t>6.1.4.6</t>
  </si>
  <si>
    <t>Outras Despesas (melhorias estruturais, projetos civis e arquitetonicos)</t>
  </si>
  <si>
    <t>6.1.5</t>
  </si>
  <si>
    <t>Programas de Trabalho da Área Fim</t>
  </si>
  <si>
    <t>6.1.5.1</t>
  </si>
  <si>
    <t>Programa de Acervo</t>
  </si>
  <si>
    <t>6.1.5.1.1</t>
  </si>
  <si>
    <t>Aquisição de acervo museológico / bibliográfico</t>
  </si>
  <si>
    <t>6.1.5.1.2</t>
  </si>
  <si>
    <t>Reserva Tecnica</t>
  </si>
  <si>
    <t>6.1.5.1.3</t>
  </si>
  <si>
    <t>Transporte de acervo</t>
  </si>
  <si>
    <t>6.1.5.1.4</t>
  </si>
  <si>
    <t>Conservação preventiva</t>
  </si>
  <si>
    <t>6.1.5.1.5</t>
  </si>
  <si>
    <t>Restauro</t>
  </si>
  <si>
    <t>6.1.5.1.6</t>
  </si>
  <si>
    <t>Higienização</t>
  </si>
  <si>
    <t>6.1.5.1.7</t>
  </si>
  <si>
    <t>Projeto de documentação</t>
  </si>
  <si>
    <t>6.1.5.1.8</t>
  </si>
  <si>
    <t>Centro de Referência/Pesquisa/Projeto de história oral</t>
  </si>
  <si>
    <t>6.1.5.1.9</t>
  </si>
  <si>
    <t>Mobiliário e equipamentos para áreas técnicas</t>
  </si>
  <si>
    <t>6.1.5.1.10</t>
  </si>
  <si>
    <t>Banco de dados</t>
  </si>
  <si>
    <t>6.1.5.1.11</t>
  </si>
  <si>
    <t>Direitos autorais</t>
  </si>
  <si>
    <t>6.1.5.1.12</t>
  </si>
  <si>
    <t>Conservação, Higienização e Restauro</t>
  </si>
  <si>
    <t>6.1.5.2</t>
  </si>
  <si>
    <t>Programa de Exposições e Programação Cultural</t>
  </si>
  <si>
    <t>6.1.5.2.1</t>
  </si>
  <si>
    <t>Manutenção da exposição de longa duração</t>
  </si>
  <si>
    <t>6.1.5.2.2</t>
  </si>
  <si>
    <t>Nova exposição de longa duração</t>
  </si>
  <si>
    <t>6.1.5.2.3</t>
  </si>
  <si>
    <t>Exposições temporárias</t>
  </si>
  <si>
    <t>6.1.5.2.4</t>
  </si>
  <si>
    <t>Exposições itinerantes</t>
  </si>
  <si>
    <t>6.1.5.2.5</t>
  </si>
  <si>
    <t>Exposições virtuais</t>
  </si>
  <si>
    <t>6.1.5.2.6</t>
  </si>
  <si>
    <t>Programação cultural</t>
  </si>
  <si>
    <t>6.1.5.2.7</t>
  </si>
  <si>
    <t>(Evento específico do museu que tenha grande repercussão, deverá ser listado individualmente. Ex.: Prêmio Design, Festa do Imigrante, Semana de Portinari etc</t>
  </si>
  <si>
    <t>6.1.5.2.8</t>
  </si>
  <si>
    <t>Cursos e oficinas</t>
  </si>
  <si>
    <t>6.1.5.3</t>
  </si>
  <si>
    <t>Programa Educativo</t>
  </si>
  <si>
    <t>6.1.5.3.1</t>
  </si>
  <si>
    <t>Programas/Projetos educativos</t>
  </si>
  <si>
    <t>6.1.5.3.2</t>
  </si>
  <si>
    <t>Ações extramuros</t>
  </si>
  <si>
    <t>6.1.5.3.3</t>
  </si>
  <si>
    <t>Ações de formação para público educativo</t>
  </si>
  <si>
    <t>6.1.5.3.4</t>
  </si>
  <si>
    <t>Materiais e recursos educativos</t>
  </si>
  <si>
    <t>6.1.5.3.5</t>
  </si>
  <si>
    <t>Aquisição de equipamentos e materiais</t>
  </si>
  <si>
    <t>6.1.5.3.6</t>
  </si>
  <si>
    <t>Conteúdo digital e engajamento virtual</t>
  </si>
  <si>
    <t>6.1.5.4</t>
  </si>
  <si>
    <t>Programa  Conexões Museus-SP</t>
  </si>
  <si>
    <t>6.1.5.4.1</t>
  </si>
  <si>
    <t>Ações de formação (oficinas, palestras, estágios etc.)</t>
  </si>
  <si>
    <t>6.1.5.4.2</t>
  </si>
  <si>
    <t>Ações de comunicação (publicações temáticas, exposições em museus fora da capital etc.)</t>
  </si>
  <si>
    <t>6.1.5.4.3</t>
  </si>
  <si>
    <t>Ações de articulação (redes temáticas de museus)</t>
  </si>
  <si>
    <t>6.1.5.4.4</t>
  </si>
  <si>
    <t>Ações de fomento (chamadas públicas para exposições com curadoria compartilhada interinstitucional)</t>
  </si>
  <si>
    <t>6.1.5.5</t>
  </si>
  <si>
    <t>Programa de Gestão Museológica</t>
  </si>
  <si>
    <t>6.1.5.5.1</t>
  </si>
  <si>
    <t>Plano Museológico</t>
  </si>
  <si>
    <t>6.1.5.5.2</t>
  </si>
  <si>
    <t>Planejamento Estratégico</t>
  </si>
  <si>
    <t>6.1.5.5.3</t>
  </si>
  <si>
    <t>Pesquisa de público</t>
  </si>
  <si>
    <t>6.1.5.5.4</t>
  </si>
  <si>
    <t>Acessibilidade</t>
  </si>
  <si>
    <t>6.1.5.5.5</t>
  </si>
  <si>
    <t>Sustentabilidade</t>
  </si>
  <si>
    <t>6.1.5.5.6</t>
  </si>
  <si>
    <t>Gestão tecnológica</t>
  </si>
  <si>
    <t>6.1.5.5.7</t>
  </si>
  <si>
    <t>Compliance</t>
  </si>
  <si>
    <t>6.1.5.6</t>
  </si>
  <si>
    <t>6.1.5.7</t>
  </si>
  <si>
    <t>6.1.6</t>
  </si>
  <si>
    <t>Programa de Comunicação e Imprensa</t>
  </si>
  <si>
    <t>6.1.6.1</t>
  </si>
  <si>
    <t>Plano de Comunicação e Site</t>
  </si>
  <si>
    <t>6.1.6.2</t>
  </si>
  <si>
    <t>Projetos gráficos e materiais de comunicação</t>
  </si>
  <si>
    <t>6.1.6.3</t>
  </si>
  <si>
    <t>Publicações</t>
  </si>
  <si>
    <t>6.1.6.4</t>
  </si>
  <si>
    <t>Assessoria de imprensa e custos de publicidade</t>
  </si>
  <si>
    <t>6.1.6.5</t>
  </si>
  <si>
    <t>Outros (Comunicação visual edifícios, placas etc)</t>
  </si>
  <si>
    <t>6.2</t>
  </si>
  <si>
    <t>Depreciação/Amortização/Exaustão/Baixa de Imobilizado/Doação/Gratuidade/Provisões</t>
  </si>
  <si>
    <t>6.2.1</t>
  </si>
  <si>
    <t>Depreciação</t>
  </si>
  <si>
    <t>6.2.2</t>
  </si>
  <si>
    <t>Amortização</t>
  </si>
  <si>
    <t>6.2.3</t>
  </si>
  <si>
    <t>Baixa de Ativo Imobilizado</t>
  </si>
  <si>
    <t>6.2.4</t>
  </si>
  <si>
    <t>Outros (Doações e gratificações)</t>
  </si>
  <si>
    <t xml:space="preserve">SUPERÁVIT OU DÉFICIT DO EXERCÍCIO </t>
  </si>
  <si>
    <t>III - INVESTIMENTOS/IMOBILIZADO</t>
  </si>
  <si>
    <t>INVESTIMENTOS COM RECURSOS VINCULADOS AO CONTRATOS DE GESTÃO</t>
  </si>
  <si>
    <t>8.1</t>
  </si>
  <si>
    <t>Equipamentos de informática</t>
  </si>
  <si>
    <t>8.2</t>
  </si>
  <si>
    <t>Moveis e utensílios</t>
  </si>
  <si>
    <t>8.3</t>
  </si>
  <si>
    <t>Máquinas e equipamentos</t>
  </si>
  <si>
    <t>8.4</t>
  </si>
  <si>
    <t>Software</t>
  </si>
  <si>
    <t>8.5</t>
  </si>
  <si>
    <t>Benfeitorias</t>
  </si>
  <si>
    <t>8.6</t>
  </si>
  <si>
    <t>Estoque</t>
  </si>
  <si>
    <t>8.7</t>
  </si>
  <si>
    <t>Outros investimentos/imobilizado (Pinacoteca Contemporânea)</t>
  </si>
  <si>
    <t>RECURSOS PÚBLICOS ESPECÍFICOS PARA INVESTIMENTO NO CONTRATO   DE GESTÃO</t>
  </si>
  <si>
    <t>9.1</t>
  </si>
  <si>
    <t>9.2</t>
  </si>
  <si>
    <t>9.3</t>
  </si>
  <si>
    <t>9.4</t>
  </si>
  <si>
    <t>9.5</t>
  </si>
  <si>
    <t>9.6</t>
  </si>
  <si>
    <t>Aquisição de acervo</t>
  </si>
  <si>
    <t>9.7</t>
  </si>
  <si>
    <t>INVESTIMENTOS COM RECURSOS INCENTIVADOS</t>
  </si>
  <si>
    <t>INVESTIMENTOS ATRAVÉS DE RECURSOS INCENTIVADOS</t>
  </si>
  <si>
    <t>10.1</t>
  </si>
  <si>
    <t>10.2</t>
  </si>
  <si>
    <t>10.3</t>
  </si>
  <si>
    <t>10.4</t>
  </si>
  <si>
    <t>10.5</t>
  </si>
  <si>
    <t>10.6</t>
  </si>
  <si>
    <t>10.7</t>
  </si>
  <si>
    <t>Outros investimentos/imobilizado (especificar)</t>
  </si>
  <si>
    <t>IV - PROJETOS A EXECUTAR E SALDOS DE RECURSOS VINCULADOS AO CONTRATO DE GESTÃO</t>
  </si>
  <si>
    <t>SALDO PROJETOS A EXECUTAR</t>
  </si>
  <si>
    <t>11.1</t>
  </si>
  <si>
    <t>Saldo anterior Projetos a Executar (contábil)</t>
  </si>
  <si>
    <t>11.2</t>
  </si>
  <si>
    <t>Repasse</t>
  </si>
  <si>
    <t>11.3</t>
  </si>
  <si>
    <t>Reserva</t>
  </si>
  <si>
    <t>11.4</t>
  </si>
  <si>
    <t>Contingência</t>
  </si>
  <si>
    <t>11.5</t>
  </si>
  <si>
    <t>Outros (imobilizado)</t>
  </si>
  <si>
    <t>12</t>
  </si>
  <si>
    <t xml:space="preserve">Recursos incentivados - saldo a ser executado </t>
  </si>
  <si>
    <t>12.1</t>
  </si>
  <si>
    <t>Recursos captados</t>
  </si>
  <si>
    <t>12.2</t>
  </si>
  <si>
    <t>Receita apropriada do recurso captado</t>
  </si>
  <si>
    <t>12.3</t>
  </si>
  <si>
    <t>Despesa realizada do recurso captado</t>
  </si>
  <si>
    <t>OUTRAS RESERVAS: SALDOS</t>
  </si>
  <si>
    <t>13.1</t>
  </si>
  <si>
    <t>Conta de Repasse do Contrato de Gestão</t>
  </si>
  <si>
    <t>13.2</t>
  </si>
  <si>
    <t>Conta de Captação Operacional</t>
  </si>
  <si>
    <t>13.3</t>
  </si>
  <si>
    <t>Conta de Projetos Incentivados</t>
  </si>
  <si>
    <t>13.4</t>
  </si>
  <si>
    <t>Conta de Recurso de Reserva</t>
  </si>
  <si>
    <t>13.5</t>
  </si>
  <si>
    <t>Conta de Recurso de Contingência</t>
  </si>
  <si>
    <t>13.6</t>
  </si>
  <si>
    <t>Demais Saldos (especificar) Caixa</t>
  </si>
  <si>
    <t>Notas explicativas:</t>
  </si>
  <si>
    <t>2.2 - Recursos de Investimento do Contrato de Gestão: Receita financeira dos recursos para construção da Pinacoteca Contemporânea;</t>
  </si>
  <si>
    <t>4.3 - Total das Receitas Financeiras: Manuteção da SELIC acima do indice utilizado como expectativa;</t>
  </si>
  <si>
    <t>6.1.5.1 - Programa de Acervo: É compostos por ações condicionadas que dependem, tambem, de recursos captação por esse motivo a execução pode não ser linear nos quadrimestres.</t>
  </si>
  <si>
    <t>6.1.5.2.3 - Exposições temporárias: Despesas com exposição itinerante não prevista no momento da construção do orçamento. Houve tambem, uma parceria com a AUDEMARS PIGUET para subsidiar parte das despesas da Exposição da Salissa Rosa</t>
  </si>
  <si>
    <t>6.1.5.3 - Programa Educativo: A execução orçamentaria não é linear entre os quadrimestres. Entretanto, as ações pactuadas estão sendo realizadas;</t>
  </si>
  <si>
    <t>6.1.5.4 - Programa Conexões Museus-SP: Como os locais ainda seria definidos com o SISEM no momento que o orçamento foi formulado, foram considerados custos de deslocamento e hospedagem. Porem, as despesas não se concretizaram pois as atividades aconteceram em museus proximos a capital e no formato on-line. Entretanto, ainda tem ações a serem realizadas em 2024 onde o recurso será utilizado</t>
  </si>
  <si>
    <t>São Paulo, 20 de setembro de 2024.</t>
  </si>
  <si>
    <t>_______________________________</t>
  </si>
  <si>
    <t>________________________</t>
  </si>
  <si>
    <t>Marcelo Costa Dantas</t>
  </si>
  <si>
    <t>Renata Ap Silva de Melo</t>
  </si>
  <si>
    <t>Diretor Administrativo Financeiro</t>
  </si>
  <si>
    <t>Coordenadora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</si>
</sst>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_(* #,##0.00_);_(* \(#,##0.00\);_(* &quot;-&quot;??_);_(@_)"/>
    <numFmt numFmtId="167" formatCode="#,##0.0_ ;[Red]\-#,##0.0\ "/>
    <numFmt numFmtId="168" formatCode="#,##0.00_ ;[Red]\-#,##0.00\ 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</font>
    <font>
      <b/>
      <sz val="8"/>
      <name val="Calibri"/>
      <family val="2"/>
      <scheme val="minor"/>
    </font>
    <font>
      <u/>
      <sz val="10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name val="Courier New"/>
      <family val="3"/>
    </font>
    <font>
      <sz val="8"/>
      <name val="Verdana"/>
      <family val="2"/>
    </font>
    <font>
      <b/>
      <sz val="10"/>
      <name val="Calibri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53">
    <xf numFmtId="0" fontId="0" fillId="0" borderId="0" xfId="0"/>
    <xf numFmtId="0" fontId="3" fillId="2" borderId="0" xfId="3" applyFont="1" applyFill="1"/>
    <xf numFmtId="43" fontId="3" fillId="0" borderId="0" xfId="1" applyFont="1" applyFill="1"/>
    <xf numFmtId="43" fontId="3" fillId="0" borderId="0" xfId="1" applyFont="1" applyFill="1" applyAlignment="1"/>
    <xf numFmtId="164" fontId="3" fillId="0" borderId="0" xfId="1" applyNumberFormat="1" applyFont="1" applyFill="1" applyAlignment="1">
      <alignment horizontal="center"/>
    </xf>
    <xf numFmtId="0" fontId="4" fillId="2" borderId="0" xfId="3" applyFont="1" applyFill="1"/>
    <xf numFmtId="43" fontId="3" fillId="0" borderId="0" xfId="1" applyFont="1" applyFill="1" applyBorder="1"/>
    <xf numFmtId="0" fontId="5" fillId="2" borderId="0" xfId="3" applyFont="1" applyFill="1"/>
    <xf numFmtId="1" fontId="5" fillId="0" borderId="1" xfId="1" applyNumberFormat="1" applyFont="1" applyFill="1" applyBorder="1" applyAlignment="1">
      <alignment horizontal="center"/>
    </xf>
    <xf numFmtId="43" fontId="5" fillId="0" borderId="2" xfId="1" applyFont="1" applyFill="1" applyBorder="1" applyAlignment="1">
      <alignment horizontal="center"/>
    </xf>
    <xf numFmtId="43" fontId="6" fillId="0" borderId="0" xfId="1" applyFont="1" applyBorder="1" applyAlignment="1"/>
    <xf numFmtId="43" fontId="5" fillId="0" borderId="1" xfId="1" applyFont="1" applyFill="1" applyBorder="1" applyAlignment="1">
      <alignment horizontal="left" indent="2"/>
    </xf>
    <xf numFmtId="0" fontId="6" fillId="0" borderId="0" xfId="0" applyFont="1"/>
    <xf numFmtId="43" fontId="5" fillId="0" borderId="3" xfId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43" fontId="3" fillId="0" borderId="0" xfId="1" applyFont="1" applyFill="1" applyAlignment="1">
      <alignment horizontal="left" indent="2"/>
    </xf>
    <xf numFmtId="0" fontId="6" fillId="0" borderId="4" xfId="0" applyFont="1" applyBorder="1"/>
    <xf numFmtId="0" fontId="3" fillId="2" borderId="5" xfId="3" applyFont="1" applyFill="1" applyBorder="1"/>
    <xf numFmtId="0" fontId="3" fillId="2" borderId="4" xfId="3" applyFont="1" applyFill="1" applyBorder="1"/>
    <xf numFmtId="43" fontId="3" fillId="0" borderId="5" xfId="1" applyFont="1" applyFill="1" applyBorder="1"/>
    <xf numFmtId="43" fontId="5" fillId="0" borderId="4" xfId="1" applyFont="1" applyFill="1" applyBorder="1" applyAlignment="1">
      <alignment horizontal="left" indent="2"/>
    </xf>
    <xf numFmtId="43" fontId="6" fillId="0" borderId="6" xfId="1" applyFont="1" applyBorder="1" applyAlignment="1"/>
    <xf numFmtId="0" fontId="6" fillId="0" borderId="5" xfId="0" applyFont="1" applyBorder="1"/>
    <xf numFmtId="43" fontId="5" fillId="0" borderId="1" xfId="1" quotePrefix="1" applyFont="1" applyFill="1" applyBorder="1" applyAlignment="1">
      <alignment horizontal="center"/>
    </xf>
    <xf numFmtId="43" fontId="5" fillId="0" borderId="0" xfId="1" quotePrefix="1" applyFont="1" applyFill="1" applyBorder="1" applyAlignment="1">
      <alignment horizontal="center"/>
    </xf>
    <xf numFmtId="0" fontId="8" fillId="2" borderId="0" xfId="3" applyFont="1" applyFill="1"/>
    <xf numFmtId="0" fontId="7" fillId="2" borderId="0" xfId="0" applyFont="1" applyFill="1" applyAlignment="1">
      <alignment horizontal="center" vertical="center"/>
    </xf>
    <xf numFmtId="43" fontId="7" fillId="2" borderId="0" xfId="1" applyFont="1" applyFill="1" applyBorder="1" applyAlignment="1">
      <alignment horizontal="center" vertical="center"/>
    </xf>
    <xf numFmtId="0" fontId="9" fillId="2" borderId="0" xfId="3" applyFont="1" applyFill="1"/>
    <xf numFmtId="43" fontId="5" fillId="0" borderId="0" xfId="1" applyFont="1" applyFill="1"/>
    <xf numFmtId="0" fontId="6" fillId="3" borderId="4" xfId="3" applyFont="1" applyFill="1" applyBorder="1" applyAlignment="1">
      <alignment horizontal="center" vertical="center"/>
    </xf>
    <xf numFmtId="43" fontId="5" fillId="0" borderId="7" xfId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4" fillId="2" borderId="0" xfId="3" applyFont="1" applyFill="1" applyAlignment="1">
      <alignment horizontal="center" vertical="center"/>
    </xf>
    <xf numFmtId="0" fontId="5" fillId="2" borderId="1" xfId="3" applyFont="1" applyFill="1" applyBorder="1" applyAlignment="1">
      <alignment horizontal="left" vertical="center"/>
    </xf>
    <xf numFmtId="43" fontId="6" fillId="0" borderId="11" xfId="1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horizontal="center" vertical="center"/>
    </xf>
    <xf numFmtId="43" fontId="6" fillId="0" borderId="12" xfId="1" applyFont="1" applyFill="1" applyBorder="1" applyAlignment="1">
      <alignment horizontal="center" vertical="center"/>
    </xf>
    <xf numFmtId="43" fontId="5" fillId="0" borderId="13" xfId="1" applyFont="1" applyFill="1" applyBorder="1" applyAlignment="1">
      <alignment horizontal="right" vertical="center"/>
    </xf>
    <xf numFmtId="165" fontId="5" fillId="0" borderId="14" xfId="2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3" fillId="2" borderId="1" xfId="3" applyFont="1" applyFill="1" applyBorder="1" applyAlignment="1">
      <alignment vertical="center"/>
    </xf>
    <xf numFmtId="0" fontId="9" fillId="0" borderId="6" xfId="3" applyFont="1" applyBorder="1" applyAlignment="1">
      <alignment horizontal="left" vertical="center" indent="2"/>
    </xf>
    <xf numFmtId="0" fontId="9" fillId="0" borderId="6" xfId="3" applyFont="1" applyBorder="1" applyAlignment="1">
      <alignment horizontal="left" vertical="center"/>
    </xf>
    <xf numFmtId="43" fontId="10" fillId="0" borderId="7" xfId="1" applyFont="1" applyFill="1" applyBorder="1" applyAlignment="1">
      <alignment horizontal="right" vertical="center"/>
    </xf>
    <xf numFmtId="43" fontId="10" fillId="0" borderId="6" xfId="1" applyFont="1" applyFill="1" applyBorder="1" applyAlignment="1">
      <alignment horizontal="right" vertical="center"/>
    </xf>
    <xf numFmtId="43" fontId="10" fillId="0" borderId="1" xfId="1" applyFont="1" applyFill="1" applyBorder="1" applyAlignment="1">
      <alignment horizontal="right" vertical="center"/>
    </xf>
    <xf numFmtId="43" fontId="5" fillId="0" borderId="7" xfId="1" applyFont="1" applyFill="1" applyBorder="1" applyAlignment="1">
      <alignment vertical="center"/>
    </xf>
    <xf numFmtId="43" fontId="6" fillId="0" borderId="6" xfId="1" applyFont="1" applyFill="1" applyBorder="1" applyAlignment="1">
      <alignment horizontal="right" vertical="center"/>
    </xf>
    <xf numFmtId="43" fontId="6" fillId="0" borderId="1" xfId="1" applyFont="1" applyFill="1" applyBorder="1" applyAlignment="1">
      <alignment horizontal="right" vertical="center"/>
    </xf>
    <xf numFmtId="43" fontId="11" fillId="0" borderId="13" xfId="1" applyFont="1" applyFill="1" applyBorder="1" applyAlignment="1">
      <alignment horizontal="right" vertical="center"/>
    </xf>
    <xf numFmtId="0" fontId="3" fillId="0" borderId="4" xfId="3" applyFont="1" applyBorder="1" applyAlignment="1">
      <alignment vertical="center" wrapText="1"/>
    </xf>
    <xf numFmtId="0" fontId="3" fillId="0" borderId="6" xfId="3" applyFont="1" applyBorder="1" applyAlignment="1">
      <alignment horizontal="left" vertical="center" wrapText="1" indent="1"/>
    </xf>
    <xf numFmtId="43" fontId="10" fillId="0" borderId="11" xfId="1" applyFont="1" applyFill="1" applyBorder="1" applyAlignment="1">
      <alignment vertical="center"/>
    </xf>
    <xf numFmtId="43" fontId="10" fillId="0" borderId="6" xfId="1" applyFont="1" applyFill="1" applyBorder="1" applyAlignment="1">
      <alignment vertical="center"/>
    </xf>
    <xf numFmtId="43" fontId="10" fillId="0" borderId="1" xfId="1" applyFont="1" applyFill="1" applyBorder="1" applyAlignment="1">
      <alignment vertical="center"/>
    </xf>
    <xf numFmtId="43" fontId="3" fillId="0" borderId="7" xfId="1" applyFont="1" applyFill="1" applyBorder="1" applyAlignment="1">
      <alignment vertical="center"/>
    </xf>
    <xf numFmtId="43" fontId="10" fillId="0" borderId="7" xfId="1" applyFont="1" applyFill="1" applyBorder="1" applyAlignment="1">
      <alignment vertical="center"/>
    </xf>
    <xf numFmtId="43" fontId="10" fillId="0" borderId="10" xfId="1" applyFont="1" applyFill="1" applyBorder="1" applyAlignment="1">
      <alignment vertical="center"/>
    </xf>
    <xf numFmtId="43" fontId="6" fillId="0" borderId="11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1" xfId="1" applyFont="1" applyFill="1" applyBorder="1" applyAlignment="1">
      <alignment vertical="center"/>
    </xf>
    <xf numFmtId="0" fontId="5" fillId="0" borderId="4" xfId="3" applyFont="1" applyBorder="1" applyAlignment="1">
      <alignment horizontal="left" vertical="center"/>
    </xf>
    <xf numFmtId="43" fontId="6" fillId="0" borderId="14" xfId="1" applyFont="1" applyFill="1" applyBorder="1" applyAlignment="1">
      <alignment vertical="center"/>
    </xf>
    <xf numFmtId="0" fontId="5" fillId="0" borderId="4" xfId="3" applyFont="1" applyBorder="1" applyAlignment="1">
      <alignment vertical="center"/>
    </xf>
    <xf numFmtId="0" fontId="5" fillId="0" borderId="6" xfId="3" applyFont="1" applyBorder="1" applyAlignment="1">
      <alignment vertical="center"/>
    </xf>
    <xf numFmtId="43" fontId="5" fillId="0" borderId="11" xfId="1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0" fontId="9" fillId="0" borderId="6" xfId="4" applyFont="1" applyBorder="1" applyAlignment="1">
      <alignment horizontal="left" vertical="center" indent="2"/>
    </xf>
    <xf numFmtId="0" fontId="9" fillId="0" borderId="6" xfId="4" applyFont="1" applyBorder="1" applyAlignment="1">
      <alignment horizontal="left" vertical="center"/>
    </xf>
    <xf numFmtId="43" fontId="10" fillId="0" borderId="14" xfId="1" applyFont="1" applyFill="1" applyBorder="1" applyAlignment="1">
      <alignment vertical="center"/>
    </xf>
    <xf numFmtId="0" fontId="5" fillId="0" borderId="1" xfId="3" applyFont="1" applyBorder="1" applyAlignment="1">
      <alignment horizontal="left" vertical="center"/>
    </xf>
    <xf numFmtId="0" fontId="5" fillId="0" borderId="6" xfId="3" applyFont="1" applyBorder="1" applyAlignment="1">
      <alignment horizontal="left" vertical="center"/>
    </xf>
    <xf numFmtId="166" fontId="12" fillId="0" borderId="1" xfId="1" applyNumberFormat="1" applyFont="1" applyFill="1" applyBorder="1" applyAlignment="1">
      <alignment horizontal="right" vertical="center"/>
    </xf>
    <xf numFmtId="0" fontId="5" fillId="0" borderId="6" xfId="4" applyFont="1" applyBorder="1" applyAlignment="1">
      <alignment horizontal="left" vertical="center"/>
    </xf>
    <xf numFmtId="0" fontId="3" fillId="0" borderId="6" xfId="4" applyFont="1" applyBorder="1" applyAlignment="1">
      <alignment horizontal="left" vertical="center" wrapText="1" indent="1"/>
    </xf>
    <xf numFmtId="0" fontId="5" fillId="0" borderId="1" xfId="4" applyFont="1" applyBorder="1" applyAlignment="1">
      <alignment horizontal="left" vertical="center"/>
    </xf>
    <xf numFmtId="0" fontId="3" fillId="2" borderId="0" xfId="3" applyFont="1" applyFill="1" applyAlignment="1">
      <alignment vertical="center"/>
    </xf>
    <xf numFmtId="0" fontId="5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43" fontId="6" fillId="0" borderId="0" xfId="1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vertical="center"/>
    </xf>
    <xf numFmtId="167" fontId="5" fillId="0" borderId="0" xfId="3" applyNumberFormat="1" applyFont="1" applyAlignment="1">
      <alignment horizontal="center" vertical="center"/>
    </xf>
    <xf numFmtId="43" fontId="3" fillId="0" borderId="0" xfId="1" applyFont="1" applyFill="1" applyBorder="1" applyAlignment="1">
      <alignment vertical="center"/>
    </xf>
    <xf numFmtId="167" fontId="3" fillId="0" borderId="0" xfId="1" applyNumberFormat="1" applyFont="1" applyFill="1" applyBorder="1" applyAlignment="1">
      <alignment vertical="center"/>
    </xf>
    <xf numFmtId="43" fontId="10" fillId="0" borderId="0" xfId="1" applyFont="1" applyFill="1"/>
    <xf numFmtId="43" fontId="3" fillId="0" borderId="0" xfId="1" applyFont="1" applyFill="1" applyAlignment="1">
      <alignment horizontal="center"/>
    </xf>
    <xf numFmtId="167" fontId="3" fillId="0" borderId="0" xfId="3" applyNumberFormat="1" applyFont="1" applyAlignment="1">
      <alignment horizontal="center"/>
    </xf>
    <xf numFmtId="43" fontId="6" fillId="0" borderId="7" xfId="1" applyFont="1" applyFill="1" applyBorder="1" applyAlignment="1">
      <alignment horizontal="center" vertical="center" wrapText="1"/>
    </xf>
    <xf numFmtId="167" fontId="5" fillId="0" borderId="1" xfId="3" applyNumberFormat="1" applyFont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7" xfId="1" applyFont="1" applyFill="1" applyBorder="1" applyAlignment="1">
      <alignment vertical="center"/>
    </xf>
    <xf numFmtId="43" fontId="6" fillId="0" borderId="4" xfId="1" applyFont="1" applyFill="1" applyBorder="1" applyAlignment="1">
      <alignment vertical="center"/>
    </xf>
    <xf numFmtId="49" fontId="3" fillId="2" borderId="1" xfId="3" applyNumberFormat="1" applyFont="1" applyFill="1" applyBorder="1" applyAlignment="1">
      <alignment vertical="center"/>
    </xf>
    <xf numFmtId="0" fontId="9" fillId="2" borderId="4" xfId="3" applyFont="1" applyFill="1" applyBorder="1" applyAlignment="1">
      <alignment vertical="center" wrapText="1"/>
    </xf>
    <xf numFmtId="0" fontId="3" fillId="2" borderId="6" xfId="3" applyFont="1" applyFill="1" applyBorder="1" applyAlignment="1">
      <alignment horizontal="left" vertical="center" wrapText="1" indent="1"/>
    </xf>
    <xf numFmtId="43" fontId="3" fillId="0" borderId="14" xfId="1" applyFont="1" applyFill="1" applyBorder="1" applyAlignment="1">
      <alignment horizontal="right" vertical="center"/>
    </xf>
    <xf numFmtId="43" fontId="5" fillId="0" borderId="14" xfId="1" applyFont="1" applyFill="1" applyBorder="1" applyAlignment="1">
      <alignment horizontal="right" vertical="center"/>
    </xf>
    <xf numFmtId="0" fontId="13" fillId="2" borderId="0" xfId="3" applyFont="1" applyFill="1" applyAlignment="1">
      <alignment vertical="center"/>
    </xf>
    <xf numFmtId="0" fontId="14" fillId="2" borderId="4" xfId="3" applyFont="1" applyFill="1" applyBorder="1" applyAlignment="1">
      <alignment vertical="center" wrapText="1"/>
    </xf>
    <xf numFmtId="43" fontId="10" fillId="0" borderId="9" xfId="1" applyFont="1" applyFill="1" applyBorder="1" applyAlignment="1">
      <alignment vertical="center"/>
    </xf>
    <xf numFmtId="49" fontId="5" fillId="0" borderId="1" xfId="3" applyNumberFormat="1" applyFont="1" applyBorder="1" applyAlignment="1">
      <alignment vertical="center"/>
    </xf>
    <xf numFmtId="43" fontId="5" fillId="0" borderId="8" xfId="1" applyFont="1" applyFill="1" applyBorder="1" applyAlignment="1">
      <alignment horizontal="right" vertical="center"/>
    </xf>
    <xf numFmtId="0" fontId="15" fillId="2" borderId="0" xfId="3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43" fontId="10" fillId="0" borderId="0" xfId="1" applyFont="1" applyFill="1" applyBorder="1" applyAlignment="1">
      <alignment vertical="center"/>
    </xf>
    <xf numFmtId="0" fontId="6" fillId="3" borderId="4" xfId="3" applyFont="1" applyFill="1" applyBorder="1" applyAlignment="1">
      <alignment horizontal="left" vertical="center"/>
    </xf>
    <xf numFmtId="0" fontId="6" fillId="3" borderId="15" xfId="3" applyFont="1" applyFill="1" applyBorder="1" applyAlignment="1">
      <alignment horizontal="center" vertical="center"/>
    </xf>
    <xf numFmtId="43" fontId="5" fillId="0" borderId="11" xfId="1" applyFont="1" applyFill="1" applyBorder="1" applyAlignment="1">
      <alignment vertical="center" wrapText="1"/>
    </xf>
    <xf numFmtId="43" fontId="5" fillId="0" borderId="9" xfId="1" applyFont="1" applyFill="1" applyBorder="1" applyAlignment="1">
      <alignment vertical="center" wrapText="1"/>
    </xf>
    <xf numFmtId="43" fontId="5" fillId="0" borderId="1" xfId="1" applyFont="1" applyFill="1" applyBorder="1" applyAlignment="1">
      <alignment vertical="center" wrapText="1"/>
    </xf>
    <xf numFmtId="43" fontId="5" fillId="0" borderId="12" xfId="1" applyFont="1" applyFill="1" applyBorder="1" applyAlignment="1">
      <alignment vertical="center" wrapText="1"/>
    </xf>
    <xf numFmtId="43" fontId="5" fillId="0" borderId="10" xfId="1" applyFont="1" applyFill="1" applyBorder="1" applyAlignment="1">
      <alignment vertical="center" wrapText="1"/>
    </xf>
    <xf numFmtId="165" fontId="5" fillId="0" borderId="1" xfId="2" applyNumberFormat="1" applyFont="1" applyFill="1" applyBorder="1" applyAlignment="1">
      <alignment horizontal="center" vertical="center"/>
    </xf>
    <xf numFmtId="0" fontId="5" fillId="2" borderId="4" xfId="3" applyFont="1" applyFill="1" applyBorder="1" applyAlignment="1">
      <alignment vertical="center" wrapText="1"/>
    </xf>
    <xf numFmtId="0" fontId="5" fillId="2" borderId="6" xfId="3" applyFont="1" applyFill="1" applyBorder="1" applyAlignment="1">
      <alignment vertical="center" wrapText="1"/>
    </xf>
    <xf numFmtId="43" fontId="5" fillId="0" borderId="4" xfId="1" applyFont="1" applyFill="1" applyBorder="1" applyAlignment="1">
      <alignment vertical="center"/>
    </xf>
    <xf numFmtId="43" fontId="5" fillId="0" borderId="1" xfId="1" applyFont="1" applyFill="1" applyBorder="1" applyAlignment="1">
      <alignment vertical="center"/>
    </xf>
    <xf numFmtId="43" fontId="5" fillId="0" borderId="16" xfId="1" applyFont="1" applyFill="1" applyBorder="1" applyAlignment="1">
      <alignment vertical="center"/>
    </xf>
    <xf numFmtId="0" fontId="3" fillId="2" borderId="1" xfId="3" applyFont="1" applyFill="1" applyBorder="1" applyAlignment="1">
      <alignment horizontal="left" vertical="center"/>
    </xf>
    <xf numFmtId="0" fontId="14" fillId="2" borderId="6" xfId="3" applyFont="1" applyFill="1" applyBorder="1" applyAlignment="1">
      <alignment horizontal="left" vertical="center" wrapText="1" indent="1"/>
    </xf>
    <xf numFmtId="43" fontId="5" fillId="0" borderId="8" xfId="1" applyFont="1" applyFill="1" applyBorder="1" applyAlignment="1">
      <alignment vertical="center" wrapText="1"/>
    </xf>
    <xf numFmtId="0" fontId="3" fillId="2" borderId="4" xfId="3" applyFont="1" applyFill="1" applyBorder="1" applyAlignment="1">
      <alignment vertical="center" wrapText="1"/>
    </xf>
    <xf numFmtId="0" fontId="3" fillId="2" borderId="6" xfId="3" applyFont="1" applyFill="1" applyBorder="1" applyAlignment="1">
      <alignment horizontal="left" vertical="center" wrapText="1" indent="2"/>
    </xf>
    <xf numFmtId="43" fontId="3" fillId="0" borderId="8" xfId="1" applyFont="1" applyFill="1" applyBorder="1" applyAlignment="1">
      <alignment vertical="center" wrapText="1"/>
    </xf>
    <xf numFmtId="0" fontId="3" fillId="0" borderId="1" xfId="3" applyFont="1" applyBorder="1" applyAlignment="1">
      <alignment horizontal="left" vertical="center"/>
    </xf>
    <xf numFmtId="0" fontId="4" fillId="0" borderId="0" xfId="3" applyFont="1" applyAlignment="1">
      <alignment vertical="center"/>
    </xf>
    <xf numFmtId="0" fontId="14" fillId="2" borderId="5" xfId="3" applyFont="1" applyFill="1" applyBorder="1" applyAlignment="1">
      <alignment horizontal="left" vertical="center" wrapText="1" indent="1"/>
    </xf>
    <xf numFmtId="43" fontId="3" fillId="0" borderId="7" xfId="5" applyFont="1" applyFill="1" applyBorder="1" applyAlignment="1">
      <alignment vertical="center"/>
    </xf>
    <xf numFmtId="43" fontId="5" fillId="0" borderId="6" xfId="1" applyFont="1" applyFill="1" applyBorder="1" applyAlignment="1">
      <alignment vertical="center"/>
    </xf>
    <xf numFmtId="0" fontId="3" fillId="0" borderId="1" xfId="3" applyFont="1" applyBorder="1" applyAlignment="1">
      <alignment horizontal="left" vertical="center" wrapText="1"/>
    </xf>
    <xf numFmtId="0" fontId="14" fillId="0" borderId="1" xfId="3" applyFont="1" applyBorder="1" applyAlignment="1">
      <alignment horizontal="left" vertical="center"/>
    </xf>
    <xf numFmtId="0" fontId="14" fillId="0" borderId="4" xfId="3" applyFont="1" applyBorder="1" applyAlignment="1">
      <alignment vertical="center" wrapText="1"/>
    </xf>
    <xf numFmtId="0" fontId="14" fillId="0" borderId="6" xfId="3" applyFont="1" applyBorder="1" applyAlignment="1">
      <alignment horizontal="left" vertical="center" wrapText="1" indent="1"/>
    </xf>
    <xf numFmtId="0" fontId="4" fillId="0" borderId="4" xfId="3" applyFont="1" applyBorder="1" applyAlignment="1">
      <alignment vertical="center"/>
    </xf>
    <xf numFmtId="0" fontId="3" fillId="0" borderId="6" xfId="6" applyFont="1" applyFill="1" applyBorder="1" applyAlignment="1">
      <alignment horizontal="left" vertical="center" wrapText="1" indent="2"/>
    </xf>
    <xf numFmtId="0" fontId="4" fillId="2" borderId="4" xfId="3" applyFont="1" applyFill="1" applyBorder="1" applyAlignment="1">
      <alignment vertical="center"/>
    </xf>
    <xf numFmtId="0" fontId="3" fillId="2" borderId="6" xfId="6" applyFont="1" applyFill="1" applyBorder="1" applyAlignment="1">
      <alignment horizontal="left" vertical="center" wrapText="1" indent="2"/>
    </xf>
    <xf numFmtId="0" fontId="3" fillId="0" borderId="1" xfId="6" applyFont="1" applyFill="1" applyBorder="1" applyAlignment="1">
      <alignment horizontal="left" vertical="center"/>
    </xf>
    <xf numFmtId="0" fontId="17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 wrapText="1"/>
    </xf>
    <xf numFmtId="0" fontId="3" fillId="2" borderId="1" xfId="6" applyFont="1" applyFill="1" applyBorder="1" applyAlignment="1">
      <alignment horizontal="left" vertical="center"/>
    </xf>
    <xf numFmtId="0" fontId="3" fillId="2" borderId="4" xfId="6" applyFont="1" applyFill="1" applyBorder="1" applyAlignment="1">
      <alignment vertical="center" wrapText="1"/>
    </xf>
    <xf numFmtId="0" fontId="3" fillId="0" borderId="4" xfId="6" applyFont="1" applyFill="1" applyBorder="1" applyAlignment="1">
      <alignment vertical="center" wrapText="1"/>
    </xf>
    <xf numFmtId="0" fontId="14" fillId="2" borderId="1" xfId="6" applyFont="1" applyFill="1" applyBorder="1" applyAlignment="1">
      <alignment horizontal="left" vertical="center"/>
    </xf>
    <xf numFmtId="43" fontId="5" fillId="0" borderId="7" xfId="1" applyFont="1" applyFill="1" applyBorder="1" applyAlignment="1">
      <alignment horizontal="center" vertical="center"/>
    </xf>
    <xf numFmtId="0" fontId="3" fillId="0" borderId="6" xfId="6" applyFont="1" applyFill="1" applyBorder="1" applyAlignment="1">
      <alignment horizontal="left" vertical="center" wrapText="1" indent="1"/>
    </xf>
    <xf numFmtId="0" fontId="3" fillId="2" borderId="6" xfId="6" applyFont="1" applyFill="1" applyBorder="1" applyAlignment="1">
      <alignment horizontal="left" vertical="center" wrapText="1" indent="1"/>
    </xf>
    <xf numFmtId="0" fontId="3" fillId="2" borderId="6" xfId="3" applyFont="1" applyFill="1" applyBorder="1" applyAlignment="1">
      <alignment vertical="center" wrapText="1"/>
    </xf>
    <xf numFmtId="43" fontId="3" fillId="0" borderId="6" xfId="1" applyFont="1" applyFill="1" applyBorder="1" applyAlignment="1">
      <alignment vertical="center"/>
    </xf>
    <xf numFmtId="165" fontId="5" fillId="0" borderId="1" xfId="3" applyNumberFormat="1" applyFont="1" applyBorder="1" applyAlignment="1">
      <alignment horizontal="center" vertical="center"/>
    </xf>
    <xf numFmtId="43" fontId="6" fillId="0" borderId="6" xfId="1" applyFont="1" applyFill="1" applyBorder="1" applyAlignment="1">
      <alignment vertical="center"/>
    </xf>
    <xf numFmtId="167" fontId="5" fillId="0" borderId="14" xfId="2" applyNumberFormat="1" applyFont="1" applyFill="1" applyBorder="1" applyAlignment="1">
      <alignment horizontal="center" vertical="center"/>
    </xf>
    <xf numFmtId="0" fontId="3" fillId="0" borderId="1" xfId="3" applyFont="1" applyBorder="1" applyAlignment="1">
      <alignment horizontal="left"/>
    </xf>
    <xf numFmtId="0" fontId="5" fillId="0" borderId="4" xfId="3" applyFont="1" applyBorder="1" applyAlignment="1">
      <alignment vertical="center" wrapText="1"/>
    </xf>
    <xf numFmtId="0" fontId="3" fillId="0" borderId="6" xfId="3" applyFont="1" applyBorder="1" applyAlignment="1">
      <alignment vertical="center" wrapText="1"/>
    </xf>
    <xf numFmtId="43" fontId="10" fillId="0" borderId="7" xfId="1" applyFont="1" applyFill="1" applyBorder="1"/>
    <xf numFmtId="0" fontId="3" fillId="2" borderId="17" xfId="3" applyFont="1" applyFill="1" applyBorder="1" applyAlignment="1">
      <alignment horizontal="left"/>
    </xf>
    <xf numFmtId="43" fontId="10" fillId="0" borderId="6" xfId="1" applyFont="1" applyFill="1" applyBorder="1"/>
    <xf numFmtId="43" fontId="5" fillId="0" borderId="6" xfId="1" applyFont="1" applyFill="1" applyBorder="1" applyAlignment="1"/>
    <xf numFmtId="43" fontId="3" fillId="0" borderId="6" xfId="1" applyFont="1" applyFill="1" applyBorder="1"/>
    <xf numFmtId="167" fontId="5" fillId="0" borderId="6" xfId="3" applyNumberFormat="1" applyFont="1" applyBorder="1" applyAlignment="1">
      <alignment horizontal="center" vertical="center"/>
    </xf>
    <xf numFmtId="0" fontId="5" fillId="2" borderId="15" xfId="3" applyFont="1" applyFill="1" applyBorder="1" applyAlignment="1">
      <alignment horizontal="left" vertical="center"/>
    </xf>
    <xf numFmtId="0" fontId="3" fillId="2" borderId="0" xfId="3" applyFont="1" applyFill="1" applyAlignment="1">
      <alignment horizontal="left"/>
    </xf>
    <xf numFmtId="0" fontId="3" fillId="2" borderId="17" xfId="3" applyFont="1" applyFill="1" applyBorder="1"/>
    <xf numFmtId="43" fontId="10" fillId="0" borderId="17" xfId="1" applyFont="1" applyFill="1" applyBorder="1"/>
    <xf numFmtId="43" fontId="3" fillId="0" borderId="17" xfId="1" applyFont="1" applyFill="1" applyBorder="1" applyAlignment="1"/>
    <xf numFmtId="164" fontId="3" fillId="0" borderId="17" xfId="1" applyNumberFormat="1" applyFont="1" applyFill="1" applyBorder="1" applyAlignment="1">
      <alignment horizontal="center"/>
    </xf>
    <xf numFmtId="0" fontId="9" fillId="2" borderId="0" xfId="3" applyFont="1" applyFill="1" applyAlignment="1">
      <alignment horizontal="left"/>
    </xf>
    <xf numFmtId="164" fontId="3" fillId="0" borderId="0" xfId="1" applyNumberFormat="1" applyFont="1" applyFill="1" applyBorder="1" applyAlignment="1">
      <alignment vertical="center"/>
    </xf>
    <xf numFmtId="43" fontId="5" fillId="0" borderId="18" xfId="1" applyFont="1" applyFill="1" applyBorder="1" applyAlignment="1">
      <alignment horizontal="center" vertical="center"/>
    </xf>
    <xf numFmtId="43" fontId="10" fillId="0" borderId="4" xfId="1" applyFont="1" applyFill="1" applyBorder="1"/>
    <xf numFmtId="167" fontId="3" fillId="0" borderId="5" xfId="3" applyNumberFormat="1" applyFont="1" applyBorder="1" applyAlignment="1">
      <alignment horizontal="center"/>
    </xf>
    <xf numFmtId="43" fontId="6" fillId="0" borderId="7" xfId="1" applyFont="1" applyFill="1" applyBorder="1" applyAlignment="1"/>
    <xf numFmtId="43" fontId="5" fillId="0" borderId="5" xfId="1" applyFont="1" applyFill="1" applyBorder="1"/>
    <xf numFmtId="43" fontId="5" fillId="0" borderId="18" xfId="1" applyFont="1" applyFill="1" applyBorder="1"/>
    <xf numFmtId="165" fontId="5" fillId="0" borderId="1" xfId="2" applyNumberFormat="1" applyFont="1" applyFill="1" applyBorder="1" applyAlignment="1">
      <alignment horizontal="center"/>
    </xf>
    <xf numFmtId="0" fontId="3" fillId="2" borderId="1" xfId="3" applyFont="1" applyFill="1" applyBorder="1" applyAlignment="1">
      <alignment horizontal="left"/>
    </xf>
    <xf numFmtId="0" fontId="3" fillId="2" borderId="6" xfId="3" applyFont="1" applyFill="1" applyBorder="1"/>
    <xf numFmtId="43" fontId="3" fillId="0" borderId="18" xfId="1" applyFont="1" applyFill="1" applyBorder="1"/>
    <xf numFmtId="43" fontId="3" fillId="0" borderId="1" xfId="1" applyFont="1" applyFill="1" applyBorder="1" applyAlignment="1">
      <alignment vertical="center"/>
    </xf>
    <xf numFmtId="0" fontId="10" fillId="2" borderId="4" xfId="0" applyFont="1" applyFill="1" applyBorder="1"/>
    <xf numFmtId="0" fontId="10" fillId="2" borderId="6" xfId="0" applyFont="1" applyFill="1" applyBorder="1"/>
    <xf numFmtId="167" fontId="5" fillId="0" borderId="1" xfId="2" applyNumberFormat="1" applyFont="1" applyFill="1" applyBorder="1" applyAlignment="1">
      <alignment horizontal="center"/>
    </xf>
    <xf numFmtId="43" fontId="3" fillId="0" borderId="1" xfId="1" applyFont="1" applyFill="1" applyBorder="1"/>
    <xf numFmtId="165" fontId="3" fillId="0" borderId="0" xfId="1" applyNumberFormat="1" applyFont="1" applyFill="1" applyAlignment="1">
      <alignment horizontal="center"/>
    </xf>
    <xf numFmtId="43" fontId="6" fillId="0" borderId="7" xfId="1" applyFont="1" applyFill="1" applyBorder="1"/>
    <xf numFmtId="167" fontId="5" fillId="0" borderId="1" xfId="2" applyNumberFormat="1" applyFont="1" applyFill="1" applyBorder="1" applyAlignment="1">
      <alignment horizontal="right"/>
    </xf>
    <xf numFmtId="43" fontId="3" fillId="0" borderId="5" xfId="1" applyFont="1" applyFill="1" applyBorder="1" applyAlignment="1"/>
    <xf numFmtId="0" fontId="4" fillId="2" borderId="0" xfId="3" applyFont="1" applyFill="1" applyAlignment="1">
      <alignment horizontal="center"/>
    </xf>
    <xf numFmtId="165" fontId="3" fillId="0" borderId="0" xfId="1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left"/>
    </xf>
    <xf numFmtId="43" fontId="10" fillId="0" borderId="0" xfId="1" applyFont="1" applyFill="1" applyAlignment="1">
      <alignment horizontal="center"/>
    </xf>
    <xf numFmtId="4" fontId="0" fillId="0" borderId="0" xfId="0" applyNumberFormat="1" applyAlignment="1">
      <alignment horizontal="left"/>
    </xf>
    <xf numFmtId="0" fontId="6" fillId="3" borderId="15" xfId="3" applyFont="1" applyFill="1" applyBorder="1" applyAlignment="1">
      <alignment horizontal="left" vertical="center"/>
    </xf>
    <xf numFmtId="43" fontId="5" fillId="0" borderId="13" xfId="1" applyFont="1" applyFill="1" applyBorder="1"/>
    <xf numFmtId="0" fontId="3" fillId="2" borderId="9" xfId="3" applyFont="1" applyFill="1" applyBorder="1"/>
    <xf numFmtId="0" fontId="3" fillId="2" borderId="10" xfId="3" applyFont="1" applyFill="1" applyBorder="1"/>
    <xf numFmtId="43" fontId="10" fillId="0" borderId="11" xfId="1" applyFont="1" applyFill="1" applyBorder="1"/>
    <xf numFmtId="43" fontId="3" fillId="0" borderId="19" xfId="1" applyFont="1" applyFill="1" applyBorder="1"/>
    <xf numFmtId="167" fontId="5" fillId="0" borderId="14" xfId="2" applyNumberFormat="1" applyFont="1" applyFill="1" applyBorder="1" applyAlignment="1">
      <alignment horizontal="right"/>
    </xf>
    <xf numFmtId="43" fontId="5" fillId="0" borderId="8" xfId="1" applyFont="1" applyFill="1" applyBorder="1"/>
    <xf numFmtId="0" fontId="3" fillId="2" borderId="20" xfId="3" applyFont="1" applyFill="1" applyBorder="1"/>
    <xf numFmtId="43" fontId="10" fillId="0" borderId="21" xfId="1" applyFont="1" applyFill="1" applyBorder="1"/>
    <xf numFmtId="43" fontId="3" fillId="0" borderId="22" xfId="1" applyFont="1" applyFill="1" applyBorder="1"/>
    <xf numFmtId="167" fontId="5" fillId="0" borderId="23" xfId="2" applyNumberFormat="1" applyFont="1" applyFill="1" applyBorder="1" applyAlignment="1">
      <alignment horizontal="right"/>
    </xf>
    <xf numFmtId="0" fontId="5" fillId="3" borderId="4" xfId="3" applyFont="1" applyFill="1" applyBorder="1" applyAlignment="1">
      <alignment horizontal="left" vertical="center"/>
    </xf>
    <xf numFmtId="0" fontId="5" fillId="3" borderId="6" xfId="3" applyFont="1" applyFill="1" applyBorder="1" applyAlignment="1">
      <alignment horizontal="left" vertical="center"/>
    </xf>
    <xf numFmtId="43" fontId="6" fillId="0" borderId="7" xfId="1" applyFont="1" applyFill="1" applyBorder="1" applyAlignment="1">
      <alignment horizontal="right" vertical="center"/>
    </xf>
    <xf numFmtId="43" fontId="5" fillId="0" borderId="6" xfId="1" applyFont="1" applyFill="1" applyBorder="1" applyAlignment="1">
      <alignment horizontal="right" vertical="center"/>
    </xf>
    <xf numFmtId="43" fontId="5" fillId="0" borderId="1" xfId="1" applyFont="1" applyFill="1" applyBorder="1" applyAlignment="1">
      <alignment horizontal="right" vertical="center"/>
    </xf>
    <xf numFmtId="43" fontId="11" fillId="0" borderId="18" xfId="1" applyFont="1" applyFill="1" applyBorder="1" applyAlignment="1">
      <alignment horizontal="left" vertical="center"/>
    </xf>
    <xf numFmtId="167" fontId="5" fillId="0" borderId="1" xfId="3" applyNumberFormat="1" applyFont="1" applyBorder="1" applyAlignment="1">
      <alignment horizontal="center" vertical="center"/>
    </xf>
    <xf numFmtId="0" fontId="6" fillId="3" borderId="6" xfId="3" applyFont="1" applyFill="1" applyBorder="1" applyAlignment="1">
      <alignment horizontal="left" vertical="center"/>
    </xf>
    <xf numFmtId="43" fontId="5" fillId="0" borderId="5" xfId="1" applyFont="1" applyBorder="1"/>
    <xf numFmtId="43" fontId="6" fillId="0" borderId="6" xfId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/>
    </xf>
    <xf numFmtId="43" fontId="3" fillId="0" borderId="13" xfId="1" applyFont="1" applyFill="1" applyBorder="1"/>
    <xf numFmtId="43" fontId="3" fillId="0" borderId="1" xfId="1" applyFont="1" applyBorder="1"/>
    <xf numFmtId="43" fontId="3" fillId="0" borderId="8" xfId="1" applyFont="1" applyFill="1" applyBorder="1"/>
    <xf numFmtId="0" fontId="10" fillId="2" borderId="0" xfId="0" applyFont="1" applyFill="1" applyAlignment="1">
      <alignment horizontal="left"/>
    </xf>
    <xf numFmtId="43" fontId="10" fillId="0" borderId="0" xfId="1" applyFont="1" applyFill="1" applyBorder="1"/>
    <xf numFmtId="43" fontId="5" fillId="0" borderId="0" xfId="1" applyFont="1" applyFill="1" applyBorder="1"/>
    <xf numFmtId="165" fontId="5" fillId="0" borderId="0" xfId="1" applyNumberFormat="1" applyFont="1" applyFill="1" applyBorder="1"/>
    <xf numFmtId="43" fontId="10" fillId="0" borderId="0" xfId="1" applyFont="1"/>
    <xf numFmtId="43" fontId="5" fillId="0" borderId="0" xfId="1" applyFont="1"/>
    <xf numFmtId="165" fontId="5" fillId="0" borderId="0" xfId="1" applyNumberFormat="1" applyFont="1"/>
    <xf numFmtId="0" fontId="12" fillId="0" borderId="0" xfId="0" applyFont="1"/>
    <xf numFmtId="0" fontId="18" fillId="0" borderId="0" xfId="0" applyFont="1"/>
    <xf numFmtId="168" fontId="3" fillId="0" borderId="0" xfId="3" applyNumberFormat="1" applyFont="1"/>
    <xf numFmtId="43" fontId="10" fillId="0" borderId="0" xfId="1" applyFont="1" applyBorder="1"/>
    <xf numFmtId="0" fontId="14" fillId="0" borderId="0" xfId="3" applyFont="1" applyAlignment="1">
      <alignment horizontal="left" vertical="center" wrapText="1" indent="1"/>
    </xf>
    <xf numFmtId="0" fontId="14" fillId="0" borderId="0" xfId="3" applyFont="1" applyAlignment="1">
      <alignment vertical="center" wrapText="1"/>
    </xf>
    <xf numFmtId="0" fontId="10" fillId="2" borderId="0" xfId="0" applyFont="1" applyFill="1" applyAlignment="1">
      <alignment horizontal="left" wrapText="1"/>
    </xf>
    <xf numFmtId="0" fontId="5" fillId="3" borderId="1" xfId="3" applyFont="1" applyFill="1" applyBorder="1" applyAlignment="1">
      <alignment vertical="center" wrapText="1"/>
    </xf>
    <xf numFmtId="0" fontId="5" fillId="3" borderId="4" xfId="3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5" fillId="0" borderId="9" xfId="3" applyFont="1" applyBorder="1" applyAlignment="1">
      <alignment horizontal="left" vertical="center" wrapText="1"/>
    </xf>
    <xf numFmtId="0" fontId="5" fillId="0" borderId="10" xfId="3" applyFont="1" applyBorder="1" applyAlignment="1">
      <alignment horizontal="left" vertical="center" wrapText="1"/>
    </xf>
    <xf numFmtId="0" fontId="6" fillId="3" borderId="4" xfId="3" applyFont="1" applyFill="1" applyBorder="1" applyAlignment="1">
      <alignment horizontal="left" vertical="center" wrapText="1"/>
    </xf>
    <xf numFmtId="0" fontId="6" fillId="3" borderId="5" xfId="3" applyFont="1" applyFill="1" applyBorder="1" applyAlignment="1">
      <alignment horizontal="left" vertical="center" wrapText="1"/>
    </xf>
    <xf numFmtId="0" fontId="9" fillId="0" borderId="4" xfId="3" applyFont="1" applyBorder="1" applyAlignment="1">
      <alignment horizontal="left" vertical="center" wrapText="1" indent="2"/>
    </xf>
    <xf numFmtId="0" fontId="9" fillId="0" borderId="5" xfId="3" applyFont="1" applyBorder="1" applyAlignment="1">
      <alignment horizontal="left" vertical="center" wrapText="1" indent="2"/>
    </xf>
    <xf numFmtId="0" fontId="5" fillId="4" borderId="4" xfId="3" applyFont="1" applyFill="1" applyBorder="1" applyAlignment="1">
      <alignment horizontal="left" vertical="center" wrapText="1"/>
    </xf>
    <xf numFmtId="0" fontId="5" fillId="4" borderId="5" xfId="3" applyFont="1" applyFill="1" applyBorder="1" applyAlignment="1">
      <alignment horizontal="left" vertical="center" wrapText="1"/>
    </xf>
    <xf numFmtId="0" fontId="5" fillId="3" borderId="1" xfId="3" applyFont="1" applyFill="1" applyBorder="1" applyAlignment="1">
      <alignment horizontal="left" vertical="center" wrapText="1"/>
    </xf>
    <xf numFmtId="0" fontId="5" fillId="3" borderId="4" xfId="3" applyFont="1" applyFill="1" applyBorder="1" applyAlignment="1">
      <alignment horizontal="left" vertical="center" wrapText="1"/>
    </xf>
  </cellXfs>
  <cellStyles count="7">
    <cellStyle name="Normal" xfId="0" builtinId="0"/>
    <cellStyle name="Normal 2" xfId="3" xr:uid="{374C1188-425B-483B-9366-1DC33D3A103C}"/>
    <cellStyle name="Normal 2 2" xfId="6" xr:uid="{EA8BB199-C25B-493D-97EB-1833502C8752}"/>
    <cellStyle name="Normal 2 2 3" xfId="4" xr:uid="{CF382FDC-EFB6-4C69-A448-F987BD498F84}"/>
    <cellStyle name="Porcentagem" xfId="2" builtinId="5"/>
    <cellStyle name="Vírgula" xfId="1" builtinId="3"/>
    <cellStyle name="Vírgula 5 3" xfId="5" xr:uid="{053E0BF1-B56A-4E83-AA9B-C5BB6076A9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19052</xdr:colOff>
      <xdr:row>0</xdr:row>
      <xdr:rowOff>19051</xdr:rowOff>
    </xdr:from>
    <xdr:to>
      <xdr:col>2</xdr:col>
      <xdr:colOff>2066926</xdr:colOff>
      <xdr:row>4</xdr:row>
      <xdr:rowOff>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8596B0A-A980-402C-AE83-22FEC2720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2" y="19051"/>
          <a:ext cx="3023234" cy="590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90.3\contabilidade\Ativos\Lawson\Contabil\2009\Relat&#243;rios\Centro%20de%20cus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CELSO.COMPAIR\Configura&#231;&#245;es%20locais\Temporary%20Internet%20Files\Content.IE5\37XBN1WS\Calculo_varia&#231;&#227;o_cambial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y%20Documents\IMIS_04_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TEMAS\PUBLICO\Documents%20and%20Settings\CELSO.COMPAIR\Configura&#231;&#245;es%20locais\Temporary%20Internet%20Files\Content.IE5\RF5WHBA7\BANKRE~1%20COMPAIR%20DO%20BRAS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dows\TEMP\0000%20JWR%20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MIS04%20PRP%20Proform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AS%20Reporting\IntraNet\InteractiveTemplates\5431%20MR03%20BSh%20Explosion%20by%20Un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cipal"/>
      <sheetName val="PlanoContas"/>
      <sheetName val="CentroCusto"/>
      <sheetName val="PlanoContasReais"/>
      <sheetName val="PlanoContasEuro"/>
      <sheetName val="CentroCustoReais"/>
      <sheetName val="CentroCustoEuro"/>
      <sheetName val="Capa"/>
      <sheetName val="Assets"/>
      <sheetName val="Liabilities"/>
      <sheetName val="SI"/>
      <sheetName val="11111 R$"/>
      <sheetName val="38396 R$"/>
      <sheetName val="89510 R$"/>
      <sheetName val="91820 R$"/>
      <sheetName val="91860 R$"/>
      <sheetName val="R$ TOTAL"/>
      <sheetName val="11111 US$"/>
      <sheetName val="38396 US$"/>
      <sheetName val="89510 US$"/>
      <sheetName val="91820 US$"/>
      <sheetName val="91860 US$"/>
      <sheetName val="US$ TOTAL"/>
      <sheetName val="DMPL"/>
      <sheetName val="DFC"/>
      <sheetName val="CTA"/>
      <sheetName val="personnel - 2"/>
      <sheetName val="Provisões"/>
      <sheetName val="LOANS"/>
      <sheetName val="DOAR"/>
      <sheetName val="Empréstimo"/>
      <sheetName val="Imobilizado"/>
      <sheetName val="CTA DF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BERTO"/>
      <sheetName val="PAGAS"/>
      <sheetName val="camila"/>
      <sheetName val="0304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nk"/>
      <sheetName val="Cover"/>
      <sheetName val="Contents"/>
      <sheetName val="PR_01"/>
      <sheetName val="PR_02"/>
      <sheetName val="PR_03"/>
      <sheetName val="PR_04"/>
      <sheetName val="PR_06"/>
      <sheetName val="PR_07"/>
      <sheetName val="PR_09"/>
      <sheetName val="PR_10"/>
      <sheetName val="PR_11"/>
      <sheetName val="PR_12"/>
      <sheetName val="PR_13"/>
      <sheetName val="PR_14"/>
      <sheetName val="PR_15"/>
      <sheetName val="PR_16"/>
      <sheetName val="PR_17"/>
      <sheetName val="INP_01"/>
      <sheetName val="INP_02"/>
      <sheetName val="INP_03"/>
      <sheetName val="INP_04"/>
      <sheetName val="INP_05"/>
      <sheetName val="INP_06"/>
      <sheetName val="INP_07"/>
      <sheetName val="INP_08"/>
      <sheetName val="INP_09"/>
      <sheetName val="INP_10"/>
      <sheetName val="INP_11"/>
      <sheetName val="INP_12"/>
      <sheetName val="INP_13"/>
      <sheetName val="INP_14"/>
      <sheetName val="INP_15"/>
      <sheetName val="INP_16"/>
      <sheetName val="INP_17"/>
      <sheetName val="INP_18"/>
      <sheetName val="INP_19"/>
      <sheetName val="INP_20"/>
      <sheetName val="INP_21"/>
      <sheetName val="INP_22"/>
      <sheetName val="INP_23"/>
      <sheetName val="INP_24"/>
      <sheetName val="INP_25"/>
      <sheetName val="INP_26"/>
      <sheetName val="INP_27"/>
      <sheetName val="INP_28"/>
      <sheetName val="INP_29"/>
      <sheetName val="INP_30"/>
      <sheetName val="INP_31"/>
      <sheetName val="INP_32"/>
      <sheetName val="INP_33"/>
      <sheetName val="INP_34"/>
      <sheetName val="INP_35"/>
      <sheetName val="INP_36"/>
      <sheetName val="INP_37"/>
      <sheetName val="INP_38"/>
      <sheetName val="INP_39"/>
      <sheetName val="INP_40"/>
      <sheetName val="INP_41"/>
      <sheetName val="INP_42"/>
      <sheetName val="INP_43"/>
      <sheetName val="INP_44"/>
      <sheetName val="Graphs"/>
      <sheetName val="Graphs_Input"/>
      <sheetName val="Exhaust"/>
      <sheetName val="dlg_mc_mes_box"/>
      <sheetName val="dlg_select"/>
      <sheetName val="dlg_imip_select"/>
      <sheetName val="Graph Details"/>
      <sheetName val="dlg_category"/>
      <sheetName val="Validations"/>
      <sheetName val="Extract"/>
      <sheetName val="Details"/>
      <sheetName val="Dlg_draft"/>
      <sheetName val="Dlg_Front"/>
      <sheetName val="Dlg_about_PRP"/>
      <sheetName val="dlg_company_details"/>
      <sheetName val="dlg_paper_typ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cy"/>
      <sheetName val="Reconciliation"/>
      <sheetName val="Extract"/>
    </sheetNames>
    <sheetDataSet>
      <sheetData sheetId="0"/>
      <sheetData sheetId="1" refreshError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WR 3 Ext"/>
      <sheetName val="JWR 5 Ext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mpany Details"/>
      <sheetName val="Contents"/>
      <sheetName val="PR_01"/>
      <sheetName val="PR_01a"/>
      <sheetName val="PR_02"/>
      <sheetName val="PR_03"/>
      <sheetName val="PR_04"/>
      <sheetName val="PR_04a"/>
      <sheetName val="PR_05a"/>
      <sheetName val="PR_05b"/>
      <sheetName val="PR_06a"/>
      <sheetName val="PR_06b"/>
      <sheetName val="PR_06c"/>
      <sheetName val="PR_07"/>
      <sheetName val="PR_07a"/>
      <sheetName val="PR_08"/>
      <sheetName val="PR_08a"/>
      <sheetName val="PR_09"/>
      <sheetName val="PR_09a"/>
      <sheetName val="PR_09b"/>
      <sheetName val="PR_10"/>
      <sheetName val="PR_10a"/>
      <sheetName val="PR_11a"/>
      <sheetName val="PR_11b"/>
      <sheetName val="PR_11c"/>
      <sheetName val="PR_12"/>
      <sheetName val="PR_12a"/>
      <sheetName val="PR_13"/>
      <sheetName val="PR_13a"/>
      <sheetName val="PR_14"/>
      <sheetName val="PR_14a"/>
      <sheetName val="PR_15"/>
      <sheetName val="PR_15a"/>
      <sheetName val="PR_16"/>
      <sheetName val="PR_16a"/>
      <sheetName val="PR_16b"/>
      <sheetName val="data"/>
      <sheetName val="PR_17"/>
      <sheetName val="PR_17a"/>
      <sheetName val="PR_18"/>
      <sheetName val="PR_19"/>
      <sheetName val="SR_12"/>
      <sheetName val="INP_01"/>
      <sheetName val="INP_02"/>
      <sheetName val="INP_03"/>
      <sheetName val="INP_04"/>
      <sheetName val="INP_05"/>
      <sheetName val="INP_06"/>
      <sheetName val="INP_07"/>
      <sheetName val="Val_01"/>
      <sheetName val="DSO_DPO"/>
      <sheetName val="Graph Details"/>
      <sheetName val="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h"/>
      <sheetName val="PRP pack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60415-E4D4-4DF0-803E-6094CCC5638A}">
  <sheetPr>
    <tabColor theme="4" tint="-0.249977111117893"/>
  </sheetPr>
  <dimension ref="A1:J234"/>
  <sheetViews>
    <sheetView showGridLines="0" tabSelected="1" view="pageBreakPreview" zoomScaleNormal="100" zoomScaleSheetLayoutView="100" zoomScalePageLayoutView="72" workbookViewId="0">
      <pane xSplit="3" topLeftCell="D1" activePane="topRight" state="frozen"/>
      <selection pane="topRight" activeCell="P221" sqref="P221"/>
      <selection activeCell="A40" sqref="A40"/>
    </sheetView>
  </sheetViews>
  <sheetFormatPr defaultColWidth="9.140625" defaultRowHeight="12.75"/>
  <cols>
    <col min="1" max="1" width="8.5703125" style="1" customWidth="1"/>
    <col min="2" max="2" width="5.7109375" style="1" customWidth="1"/>
    <col min="3" max="3" width="48" style="1" customWidth="1"/>
    <col min="4" max="4" width="23.7109375" style="2" bestFit="1" customWidth="1"/>
    <col min="5" max="5" width="15" style="2" customWidth="1"/>
    <col min="6" max="6" width="15.42578125" style="2" customWidth="1"/>
    <col min="7" max="7" width="14.140625" style="3" customWidth="1"/>
    <col min="8" max="8" width="14.140625" style="3" bestFit="1" customWidth="1"/>
    <col min="9" max="9" width="13.5703125" style="4" customWidth="1"/>
    <col min="10" max="16384" width="9.140625" style="5"/>
  </cols>
  <sheetData>
    <row r="1" spans="1:9" ht="12" customHeight="1"/>
    <row r="2" spans="1:9" ht="12" customHeight="1"/>
    <row r="3" spans="1:9" ht="12" customHeight="1"/>
    <row r="4" spans="1:9" ht="12" customHeight="1">
      <c r="F4" s="6"/>
    </row>
    <row r="5" spans="1:9" ht="15" customHeight="1">
      <c r="A5" s="7" t="s">
        <v>0</v>
      </c>
      <c r="D5" s="8">
        <v>2023</v>
      </c>
      <c r="E5" s="9"/>
      <c r="F5" s="10" t="s">
        <v>1</v>
      </c>
      <c r="G5" s="11" t="s">
        <v>2</v>
      </c>
      <c r="H5" s="10"/>
      <c r="I5" s="12"/>
    </row>
    <row r="6" spans="1:9" ht="2.1" customHeight="1">
      <c r="A6" s="7"/>
      <c r="D6" s="13"/>
      <c r="E6" s="14"/>
      <c r="F6" s="3"/>
      <c r="G6" s="15"/>
    </row>
    <row r="7" spans="1:9" ht="15" customHeight="1">
      <c r="A7" s="16" t="s">
        <v>3</v>
      </c>
      <c r="B7" s="17"/>
      <c r="C7" s="18"/>
      <c r="D7" s="19"/>
      <c r="E7" s="6"/>
      <c r="F7" s="10" t="s">
        <v>4</v>
      </c>
      <c r="G7" s="20" t="s">
        <v>5</v>
      </c>
      <c r="H7" s="21"/>
      <c r="I7" s="22"/>
    </row>
    <row r="8" spans="1:9" ht="2.1" customHeight="1">
      <c r="A8" s="12"/>
      <c r="D8" s="19"/>
      <c r="E8" s="6"/>
      <c r="F8" s="6"/>
    </row>
    <row r="9" spans="1:9" ht="15" customHeight="1">
      <c r="A9" s="12" t="s">
        <v>6</v>
      </c>
      <c r="D9" s="23" t="s">
        <v>7</v>
      </c>
      <c r="E9" s="24"/>
      <c r="F9" s="24"/>
    </row>
    <row r="10" spans="1:9" ht="5.0999999999999996" customHeight="1"/>
    <row r="11" spans="1:9" s="25" customFormat="1" ht="20.100000000000001" customHeight="1">
      <c r="A11" s="240" t="s">
        <v>8</v>
      </c>
      <c r="B11" s="240"/>
      <c r="C11" s="240"/>
      <c r="D11" s="240"/>
      <c r="E11" s="240"/>
      <c r="F11" s="240"/>
      <c r="G11" s="240"/>
      <c r="H11" s="240"/>
      <c r="I11" s="240"/>
    </row>
    <row r="12" spans="1:9" s="25" customFormat="1" ht="15" customHeight="1">
      <c r="A12" s="26"/>
      <c r="B12" s="26"/>
      <c r="C12" s="26"/>
      <c r="D12" s="27"/>
      <c r="E12" s="27"/>
      <c r="F12" s="27"/>
      <c r="G12" s="27"/>
      <c r="H12" s="27"/>
      <c r="I12" s="26"/>
    </row>
    <row r="13" spans="1:9" ht="13.5" customHeight="1">
      <c r="A13" s="28" t="s">
        <v>9</v>
      </c>
      <c r="D13" s="29"/>
      <c r="E13" s="29"/>
      <c r="F13" s="29"/>
    </row>
    <row r="14" spans="1:9" ht="15" customHeight="1">
      <c r="A14" s="28"/>
      <c r="D14" s="29"/>
      <c r="E14" s="29"/>
      <c r="F14" s="29"/>
    </row>
    <row r="15" spans="1:9" s="36" customFormat="1" ht="27" customHeight="1">
      <c r="A15" s="1"/>
      <c r="B15" s="241" t="s">
        <v>10</v>
      </c>
      <c r="C15" s="242"/>
      <c r="D15" s="31" t="s">
        <v>11</v>
      </c>
      <c r="E15" s="32" t="s">
        <v>12</v>
      </c>
      <c r="F15" s="33" t="s">
        <v>13</v>
      </c>
      <c r="G15" s="32" t="s">
        <v>14</v>
      </c>
      <c r="H15" s="34" t="s">
        <v>15</v>
      </c>
      <c r="I15" s="35" t="s">
        <v>16</v>
      </c>
    </row>
    <row r="16" spans="1:9" s="43" customFormat="1" ht="15" customHeight="1">
      <c r="A16" s="37">
        <v>1</v>
      </c>
      <c r="B16" s="243" t="s">
        <v>17</v>
      </c>
      <c r="C16" s="244"/>
      <c r="D16" s="38">
        <f>D17+D18+D25</f>
        <v>32550000</v>
      </c>
      <c r="E16" s="39">
        <f>E17+E18+E25</f>
        <v>10775382.289999999</v>
      </c>
      <c r="F16" s="32">
        <f>F17+F18+F25</f>
        <v>10969552.73</v>
      </c>
      <c r="G16" s="40">
        <f>G17+G18+G25</f>
        <v>0</v>
      </c>
      <c r="H16" s="41">
        <f>SUM(E16:G16)</f>
        <v>21744935.02</v>
      </c>
      <c r="I16" s="42">
        <f>IFERROR(H16/D16*100,"0")</f>
        <v>66.80471588325652</v>
      </c>
    </row>
    <row r="17" spans="1:9" s="43" customFormat="1" ht="15" customHeight="1">
      <c r="A17" s="44" t="s">
        <v>18</v>
      </c>
      <c r="B17" s="45" t="s">
        <v>19</v>
      </c>
      <c r="C17" s="46"/>
      <c r="D17" s="47">
        <v>35000000</v>
      </c>
      <c r="E17" s="48">
        <f>2916000*4</f>
        <v>11664000</v>
      </c>
      <c r="F17" s="49">
        <f>2916000*4</f>
        <v>11664000</v>
      </c>
      <c r="G17" s="49">
        <v>0</v>
      </c>
      <c r="H17" s="41">
        <f>SUM(E17:G17)</f>
        <v>23328000</v>
      </c>
      <c r="I17" s="42">
        <f>IFERROR(H17/D17*100,"0")</f>
        <v>66.651428571428568</v>
      </c>
    </row>
    <row r="18" spans="1:9" s="43" customFormat="1" ht="15" customHeight="1">
      <c r="A18" s="44" t="s">
        <v>20</v>
      </c>
      <c r="B18" s="45" t="s">
        <v>21</v>
      </c>
      <c r="C18" s="46"/>
      <c r="D18" s="50">
        <f>SUM(D19:D22)</f>
        <v>-2450000</v>
      </c>
      <c r="E18" s="51">
        <f>SUM(E19:E21)</f>
        <v>-888617.71</v>
      </c>
      <c r="F18" s="52">
        <f>SUM(F19:F21)</f>
        <v>-694447.27</v>
      </c>
      <c r="G18" s="52">
        <v>0</v>
      </c>
      <c r="H18" s="53">
        <f>SUM(H19:H21)</f>
        <v>-1583064.98</v>
      </c>
      <c r="I18" s="42">
        <f>IFERROR(H18/D18*100,"0")</f>
        <v>64.614897142857146</v>
      </c>
    </row>
    <row r="19" spans="1:9" s="43" customFormat="1" ht="15" customHeight="1">
      <c r="A19" s="44" t="s">
        <v>22</v>
      </c>
      <c r="B19" s="54"/>
      <c r="C19" s="55" t="s">
        <v>23</v>
      </c>
      <c r="D19" s="56">
        <v>-2100000</v>
      </c>
      <c r="E19" s="57">
        <v>-699689.98</v>
      </c>
      <c r="F19" s="58">
        <f>-174888-174816-20-174960</f>
        <v>-524684</v>
      </c>
      <c r="G19" s="58">
        <v>0</v>
      </c>
      <c r="H19" s="53">
        <f>SUM(E19:G19)</f>
        <v>-1224373.98</v>
      </c>
      <c r="I19" s="42">
        <f>IFERROR(H19/D19*100,"0")</f>
        <v>58.303522857142852</v>
      </c>
    </row>
    <row r="20" spans="1:9" s="43" customFormat="1" ht="15" customHeight="1">
      <c r="A20" s="44" t="s">
        <v>24</v>
      </c>
      <c r="B20" s="54"/>
      <c r="C20" s="55" t="s">
        <v>25</v>
      </c>
      <c r="D20" s="59">
        <v>0</v>
      </c>
      <c r="E20" s="57">
        <v>0</v>
      </c>
      <c r="F20" s="58">
        <v>0</v>
      </c>
      <c r="G20" s="58">
        <v>0</v>
      </c>
      <c r="H20" s="53">
        <f>SUM(E20:G20)</f>
        <v>0</v>
      </c>
      <c r="I20" s="42" t="str">
        <f>IFERROR(H20/D20*100,"0")</f>
        <v>0</v>
      </c>
    </row>
    <row r="21" spans="1:9" s="43" customFormat="1">
      <c r="A21" s="44" t="s">
        <v>26</v>
      </c>
      <c r="B21" s="54"/>
      <c r="C21" s="55" t="s">
        <v>27</v>
      </c>
      <c r="D21" s="60">
        <v>-350000</v>
      </c>
      <c r="E21" s="57">
        <v>-188927.73</v>
      </c>
      <c r="F21" s="58">
        <f>-111515.27-29088-29160</f>
        <v>-169763.27000000002</v>
      </c>
      <c r="G21" s="58">
        <v>0</v>
      </c>
      <c r="H21" s="53">
        <f>SUM(E21:G21)</f>
        <v>-358691</v>
      </c>
      <c r="I21" s="42">
        <f>IFERROR(H21/D21*100, "0")</f>
        <v>102.48314285714287</v>
      </c>
    </row>
    <row r="22" spans="1:9" s="43" customFormat="1">
      <c r="A22" s="44" t="s">
        <v>28</v>
      </c>
      <c r="B22" s="54"/>
      <c r="C22" s="55" t="s">
        <v>29</v>
      </c>
      <c r="D22" s="56">
        <v>0</v>
      </c>
      <c r="E22" s="61">
        <v>0</v>
      </c>
      <c r="F22" s="58">
        <v>0</v>
      </c>
      <c r="G22" s="58">
        <v>0</v>
      </c>
      <c r="H22" s="41">
        <f>SUM(E22:G22)</f>
        <v>0</v>
      </c>
      <c r="I22" s="42" t="str">
        <f t="shared" ref="I22:I24" si="0">IFERROR(H22/D22*100, "0")</f>
        <v>0</v>
      </c>
    </row>
    <row r="23" spans="1:9" s="43" customFormat="1">
      <c r="A23" s="44" t="s">
        <v>30</v>
      </c>
      <c r="B23" s="54"/>
      <c r="C23" s="55" t="s">
        <v>31</v>
      </c>
      <c r="D23" s="56"/>
      <c r="E23" s="61">
        <v>0</v>
      </c>
      <c r="F23" s="58">
        <v>0</v>
      </c>
      <c r="G23" s="58">
        <v>0</v>
      </c>
      <c r="H23" s="41">
        <f>SUM(E23:G23)</f>
        <v>0</v>
      </c>
      <c r="I23" s="42" t="str">
        <f t="shared" si="0"/>
        <v>0</v>
      </c>
    </row>
    <row r="24" spans="1:9" s="43" customFormat="1">
      <c r="A24" s="44" t="s">
        <v>32</v>
      </c>
      <c r="B24" s="54"/>
      <c r="C24" s="55" t="s">
        <v>33</v>
      </c>
      <c r="D24" s="56"/>
      <c r="E24" s="61"/>
      <c r="F24" s="58"/>
      <c r="G24" s="58">
        <v>0</v>
      </c>
      <c r="H24" s="41"/>
      <c r="I24" s="42" t="str">
        <f t="shared" si="0"/>
        <v>0</v>
      </c>
    </row>
    <row r="25" spans="1:9" s="43" customFormat="1" ht="15" customHeight="1">
      <c r="A25" s="44" t="s">
        <v>34</v>
      </c>
      <c r="B25" s="45" t="s">
        <v>35</v>
      </c>
      <c r="C25" s="46"/>
      <c r="D25" s="62">
        <f>D26</f>
        <v>0</v>
      </c>
      <c r="E25" s="63">
        <v>0</v>
      </c>
      <c r="F25" s="64">
        <v>0</v>
      </c>
      <c r="G25" s="64">
        <f>G18</f>
        <v>0</v>
      </c>
      <c r="H25" s="41">
        <v>0</v>
      </c>
      <c r="I25" s="42" t="str">
        <f>IFERROR(H25/D25*100, "0")</f>
        <v>0</v>
      </c>
    </row>
    <row r="26" spans="1:9" s="43" customFormat="1" ht="15" customHeight="1">
      <c r="A26" s="44" t="s">
        <v>36</v>
      </c>
      <c r="B26" s="65"/>
      <c r="C26" s="55" t="s">
        <v>37</v>
      </c>
      <c r="D26" s="56">
        <v>0</v>
      </c>
      <c r="E26" s="63">
        <v>0</v>
      </c>
      <c r="F26" s="66">
        <v>0</v>
      </c>
      <c r="G26" s="66">
        <v>0</v>
      </c>
      <c r="H26" s="41">
        <f>SUM(E26:G26)</f>
        <v>0</v>
      </c>
      <c r="I26" s="42" t="str">
        <f>IFERROR(H26/D26*100, "0")</f>
        <v>0</v>
      </c>
    </row>
    <row r="27" spans="1:9" s="43" customFormat="1" ht="15" customHeight="1">
      <c r="A27" s="37">
        <v>2</v>
      </c>
      <c r="B27" s="67" t="s">
        <v>38</v>
      </c>
      <c r="C27" s="68"/>
      <c r="D27" s="69">
        <f>SUM(D28:D29)</f>
        <v>0</v>
      </c>
      <c r="E27" s="63">
        <f>SUM(E28:E29)</f>
        <v>55384.04</v>
      </c>
      <c r="F27" s="64">
        <f t="shared" ref="F27" si="1">SUM(F28:F29)</f>
        <v>12089.93</v>
      </c>
      <c r="G27" s="66">
        <v>0</v>
      </c>
      <c r="H27" s="41">
        <f>SUM(E27:G27)</f>
        <v>67473.97</v>
      </c>
      <c r="I27" s="42" t="str">
        <f>IFERROR(H27/D27*100, "0")</f>
        <v>0</v>
      </c>
    </row>
    <row r="28" spans="1:9" s="43" customFormat="1" ht="15" customHeight="1">
      <c r="A28" s="44" t="s">
        <v>39</v>
      </c>
      <c r="B28" s="45" t="s">
        <v>40</v>
      </c>
      <c r="C28" s="46"/>
      <c r="D28" s="62">
        <v>0</v>
      </c>
      <c r="E28" s="63">
        <v>55384.04</v>
      </c>
      <c r="F28" s="66">
        <f>3007.95+2006.87+7075.11</f>
        <v>12089.93</v>
      </c>
      <c r="G28" s="66"/>
      <c r="H28" s="41">
        <f>SUM(E28:G28)</f>
        <v>67473.97</v>
      </c>
      <c r="I28" s="42" t="str">
        <f>IFERROR(H28/D28*100, "0")</f>
        <v>0</v>
      </c>
    </row>
    <row r="29" spans="1:9" s="43" customFormat="1" ht="15" customHeight="1">
      <c r="A29" s="70" t="s">
        <v>41</v>
      </c>
      <c r="B29" s="71" t="s">
        <v>42</v>
      </c>
      <c r="C29" s="72"/>
      <c r="D29" s="56">
        <v>0</v>
      </c>
      <c r="E29" s="61">
        <v>0</v>
      </c>
      <c r="F29" s="73">
        <v>0</v>
      </c>
      <c r="G29" s="66">
        <v>0</v>
      </c>
      <c r="H29" s="41">
        <f>SUM(E29:G29)</f>
        <v>0</v>
      </c>
      <c r="I29" s="42" t="str">
        <f>IFERROR(H29/D29*100, "0")</f>
        <v>0</v>
      </c>
    </row>
    <row r="30" spans="1:9" s="43" customFormat="1" ht="15" customHeight="1">
      <c r="A30" s="74">
        <v>3</v>
      </c>
      <c r="B30" s="65" t="s">
        <v>43</v>
      </c>
      <c r="C30" s="75"/>
      <c r="D30" s="62">
        <f>D31+D37+D38</f>
        <v>41371697.879999995</v>
      </c>
      <c r="E30" s="63">
        <f>E31+E37+E38</f>
        <v>3591278.5999999996</v>
      </c>
      <c r="F30" s="64">
        <f>F31+F37+F38</f>
        <v>5608604.0300000003</v>
      </c>
      <c r="G30" s="64">
        <f>G31+G37</f>
        <v>0</v>
      </c>
      <c r="H30" s="41">
        <f>SUM(E30:G30)</f>
        <v>9199882.629999999</v>
      </c>
      <c r="I30" s="42">
        <f>IFERROR(H30/D30*100,"0")</f>
        <v>22.237140609226554</v>
      </c>
    </row>
    <row r="31" spans="1:9" s="43" customFormat="1" ht="15" customHeight="1">
      <c r="A31" s="74" t="s">
        <v>44</v>
      </c>
      <c r="B31" s="45" t="s">
        <v>45</v>
      </c>
      <c r="C31" s="46"/>
      <c r="D31" s="62">
        <f>SUM(D32:D36)</f>
        <v>36333210.879999995</v>
      </c>
      <c r="E31" s="63">
        <f>SUM(E32:E35)</f>
        <v>3591278.5999999996</v>
      </c>
      <c r="F31" s="64">
        <f>SUM(F32:F35)</f>
        <v>5608604.0300000003</v>
      </c>
      <c r="G31" s="63">
        <f>SUM(G32:G35)</f>
        <v>0</v>
      </c>
      <c r="H31" s="41">
        <f>SUM(H32:H35)</f>
        <v>9199882.629999999</v>
      </c>
      <c r="I31" s="42">
        <f t="shared" ref="I31:I36" si="2">IFERROR(H31/D31*100,"0")</f>
        <v>25.32086321901204</v>
      </c>
    </row>
    <row r="32" spans="1:9" s="43" customFormat="1" ht="38.25">
      <c r="A32" s="44" t="s">
        <v>46</v>
      </c>
      <c r="B32" s="65"/>
      <c r="C32" s="55" t="s">
        <v>47</v>
      </c>
      <c r="D32" s="56">
        <v>10191500</v>
      </c>
      <c r="E32" s="61">
        <v>2971255.88</v>
      </c>
      <c r="F32" s="76">
        <f>1674431.64-F35+549131.04+749147.77</f>
        <v>2724574.17</v>
      </c>
      <c r="G32" s="58">
        <v>0</v>
      </c>
      <c r="H32" s="41">
        <f t="shared" ref="H32:H34" si="3">SUM(E32:G32)</f>
        <v>5695830.0499999998</v>
      </c>
      <c r="I32" s="42">
        <f t="shared" si="2"/>
        <v>55.888044448805374</v>
      </c>
    </row>
    <row r="33" spans="1:9" s="43" customFormat="1" ht="15" customHeight="1">
      <c r="A33" s="44" t="s">
        <v>48</v>
      </c>
      <c r="B33" s="65"/>
      <c r="C33" s="55" t="s">
        <v>49</v>
      </c>
      <c r="D33" s="56">
        <v>26141710.879999999</v>
      </c>
      <c r="E33" s="61">
        <f>E205</f>
        <v>620022.72</v>
      </c>
      <c r="F33" s="58">
        <v>2635893.58</v>
      </c>
      <c r="G33" s="64">
        <v>0</v>
      </c>
      <c r="H33" s="41">
        <f t="shared" si="3"/>
        <v>3255916.3</v>
      </c>
      <c r="I33" s="42">
        <f t="shared" si="2"/>
        <v>12.454870742568628</v>
      </c>
    </row>
    <row r="34" spans="1:9" s="43" customFormat="1" ht="15" customHeight="1">
      <c r="A34" s="44" t="s">
        <v>50</v>
      </c>
      <c r="B34" s="65"/>
      <c r="C34" s="55" t="s">
        <v>51</v>
      </c>
      <c r="D34" s="56">
        <v>0</v>
      </c>
      <c r="E34" s="63">
        <v>0</v>
      </c>
      <c r="F34" s="64">
        <v>0</v>
      </c>
      <c r="G34" s="64">
        <v>0</v>
      </c>
      <c r="H34" s="41">
        <f t="shared" si="3"/>
        <v>0</v>
      </c>
      <c r="I34" s="42" t="str">
        <f t="shared" si="2"/>
        <v>0</v>
      </c>
    </row>
    <row r="35" spans="1:9" s="43" customFormat="1" ht="15" customHeight="1">
      <c r="A35" s="44" t="s">
        <v>52</v>
      </c>
      <c r="B35" s="65"/>
      <c r="C35" s="55" t="s">
        <v>53</v>
      </c>
      <c r="D35" s="56">
        <v>0</v>
      </c>
      <c r="E35" s="61">
        <v>0</v>
      </c>
      <c r="F35" s="58">
        <v>248136.28</v>
      </c>
      <c r="G35" s="64">
        <v>0</v>
      </c>
      <c r="H35" s="41">
        <f>SUM(E35:G35)</f>
        <v>248136.28</v>
      </c>
      <c r="I35" s="42" t="str">
        <f t="shared" si="2"/>
        <v>0</v>
      </c>
    </row>
    <row r="36" spans="1:9" s="43" customFormat="1" ht="27.75" customHeight="1">
      <c r="A36" s="70" t="s">
        <v>54</v>
      </c>
      <c r="B36" s="77"/>
      <c r="C36" s="78" t="s">
        <v>55</v>
      </c>
      <c r="D36" s="56">
        <v>0</v>
      </c>
      <c r="E36" s="61">
        <v>0</v>
      </c>
      <c r="F36" s="73">
        <v>0</v>
      </c>
      <c r="G36" s="66">
        <v>0</v>
      </c>
      <c r="H36" s="41">
        <f>SUM(E36:G36)</f>
        <v>0</v>
      </c>
      <c r="I36" s="42" t="str">
        <f t="shared" si="2"/>
        <v>0</v>
      </c>
    </row>
    <row r="37" spans="1:9" s="43" customFormat="1" ht="15" customHeight="1">
      <c r="A37" s="74" t="s">
        <v>56</v>
      </c>
      <c r="B37" s="45" t="s">
        <v>57</v>
      </c>
      <c r="C37" s="46"/>
      <c r="D37" s="62">
        <v>5038487</v>
      </c>
      <c r="E37" s="61">
        <v>0</v>
      </c>
      <c r="F37" s="73">
        <v>0</v>
      </c>
      <c r="G37" s="73">
        <v>0</v>
      </c>
      <c r="H37" s="41">
        <f>SUM(E37:G37)</f>
        <v>0</v>
      </c>
      <c r="I37" s="42">
        <f>IFERROR(H37/D37*100,"0")</f>
        <v>0</v>
      </c>
    </row>
    <row r="38" spans="1:9" s="43" customFormat="1" ht="15" customHeight="1">
      <c r="A38" s="79" t="s">
        <v>58</v>
      </c>
      <c r="B38" s="71" t="s">
        <v>59</v>
      </c>
      <c r="C38" s="72"/>
      <c r="D38" s="62"/>
      <c r="E38" s="63">
        <v>0</v>
      </c>
      <c r="F38" s="73"/>
      <c r="G38" s="73">
        <v>0</v>
      </c>
      <c r="H38" s="41">
        <f>SUM(E38:G38)</f>
        <v>0</v>
      </c>
      <c r="I38" s="42" t="str">
        <f>IFERROR(H38/D38*100,"0")</f>
        <v>0</v>
      </c>
    </row>
    <row r="39" spans="1:9" s="43" customFormat="1" ht="14.1" customHeight="1">
      <c r="A39" s="80"/>
      <c r="B39" s="81"/>
      <c r="C39" s="82"/>
      <c r="D39" s="83"/>
      <c r="E39" s="83"/>
      <c r="F39" s="84"/>
      <c r="G39" s="84"/>
      <c r="H39" s="84"/>
      <c r="I39" s="85"/>
    </row>
    <row r="40" spans="1:9" s="43" customFormat="1" ht="16.5" customHeight="1">
      <c r="A40" s="28" t="s">
        <v>60</v>
      </c>
      <c r="B40" s="81"/>
      <c r="C40" s="81"/>
      <c r="D40" s="83"/>
      <c r="E40" s="83"/>
      <c r="F40" s="86"/>
      <c r="G40" s="86"/>
      <c r="H40" s="86"/>
      <c r="I40" s="87"/>
    </row>
    <row r="41" spans="1:9" ht="14.1" customHeight="1">
      <c r="B41" s="7"/>
      <c r="C41" s="7"/>
      <c r="D41" s="88"/>
      <c r="E41" s="88"/>
      <c r="F41" s="3"/>
      <c r="G41" s="89"/>
      <c r="H41" s="2"/>
      <c r="I41" s="90"/>
    </row>
    <row r="42" spans="1:9" s="36" customFormat="1" ht="27" customHeight="1">
      <c r="A42" s="1"/>
      <c r="B42" s="245" t="s">
        <v>61</v>
      </c>
      <c r="C42" s="246"/>
      <c r="D42" s="91" t="s">
        <v>62</v>
      </c>
      <c r="E42" s="32" t="s">
        <v>12</v>
      </c>
      <c r="F42" s="33" t="s">
        <v>13</v>
      </c>
      <c r="G42" s="32" t="s">
        <v>14</v>
      </c>
      <c r="H42" s="34" t="s">
        <v>15</v>
      </c>
      <c r="I42" s="92" t="s">
        <v>16</v>
      </c>
    </row>
    <row r="43" spans="1:9" s="43" customFormat="1" ht="15" customHeight="1">
      <c r="A43" s="93" t="s">
        <v>63</v>
      </c>
      <c r="B43" s="243" t="s">
        <v>64</v>
      </c>
      <c r="C43" s="244"/>
      <c r="D43" s="62">
        <f>D44+D45+D50</f>
        <v>68883210.799999997</v>
      </c>
      <c r="E43" s="94">
        <f>E44+E45+E50</f>
        <v>20110159.329999998</v>
      </c>
      <c r="F43" s="94">
        <f>F44+F45+F50</f>
        <v>21730104.949999999</v>
      </c>
      <c r="G43" s="94">
        <f>G44+G45+G50</f>
        <v>0</v>
      </c>
      <c r="H43" s="41">
        <f t="shared" ref="H43:H50" si="4">SUM(E43:G43)</f>
        <v>41840264.280000001</v>
      </c>
      <c r="I43" s="42">
        <f>H43/D43*100</f>
        <v>60.740874001186953</v>
      </c>
    </row>
    <row r="44" spans="1:9" s="43" customFormat="1" ht="12.75" customHeight="1">
      <c r="A44" s="93" t="s">
        <v>65</v>
      </c>
      <c r="B44" s="45" t="s">
        <v>66</v>
      </c>
      <c r="C44" s="46"/>
      <c r="D44" s="95">
        <v>32549999.920000002</v>
      </c>
      <c r="E44" s="96">
        <v>10081161.75</v>
      </c>
      <c r="F44" s="96">
        <v>11385925.870000001</v>
      </c>
      <c r="G44" s="96">
        <v>0</v>
      </c>
      <c r="H44" s="41">
        <f t="shared" si="4"/>
        <v>21467087.620000001</v>
      </c>
      <c r="I44" s="42">
        <f>H44/D44*100</f>
        <v>65.951114202030396</v>
      </c>
    </row>
    <row r="45" spans="1:9" s="43" customFormat="1">
      <c r="A45" s="93" t="s">
        <v>67</v>
      </c>
      <c r="B45" s="45" t="s">
        <v>68</v>
      </c>
      <c r="C45" s="46"/>
      <c r="D45" s="95">
        <f>D46+D47</f>
        <v>36153210.879999995</v>
      </c>
      <c r="E45" s="96">
        <f>SUM(E46:E49)</f>
        <v>9900725.9700000007</v>
      </c>
      <c r="F45" s="66">
        <f>SUM(F46:F49)</f>
        <v>10212607.67</v>
      </c>
      <c r="G45" s="66">
        <f>SUM(G46:G49)</f>
        <v>0</v>
      </c>
      <c r="H45" s="41">
        <f t="shared" si="4"/>
        <v>20113333.640000001</v>
      </c>
      <c r="I45" s="42"/>
    </row>
    <row r="46" spans="1:9" s="102" customFormat="1" ht="25.5" customHeight="1">
      <c r="A46" s="97" t="s">
        <v>69</v>
      </c>
      <c r="B46" s="98"/>
      <c r="C46" s="99" t="s">
        <v>47</v>
      </c>
      <c r="D46" s="60">
        <v>10011500</v>
      </c>
      <c r="E46" s="61">
        <v>1745535.06</v>
      </c>
      <c r="F46" s="100">
        <v>2207648.6800000006</v>
      </c>
      <c r="G46" s="101">
        <v>0</v>
      </c>
      <c r="H46" s="41">
        <f t="shared" si="4"/>
        <v>3953183.7400000007</v>
      </c>
      <c r="I46" s="42">
        <f>H46/D46*100</f>
        <v>39.486428007791048</v>
      </c>
    </row>
    <row r="47" spans="1:9" s="102" customFormat="1" ht="12.75" customHeight="1">
      <c r="A47" s="97" t="s">
        <v>70</v>
      </c>
      <c r="B47" s="103"/>
      <c r="C47" s="99" t="s">
        <v>49</v>
      </c>
      <c r="D47" s="60">
        <v>26141710.879999999</v>
      </c>
      <c r="E47" s="104">
        <v>7153977.9100000011</v>
      </c>
      <c r="F47" s="100">
        <v>8013198.9899999993</v>
      </c>
      <c r="G47" s="101">
        <v>0</v>
      </c>
      <c r="H47" s="41">
        <f t="shared" si="4"/>
        <v>15167176.9</v>
      </c>
      <c r="I47" s="42">
        <f>IFERROR(H47/D47*100,"0")</f>
        <v>58.019067572213935</v>
      </c>
    </row>
    <row r="48" spans="1:9" s="102" customFormat="1" ht="12.75" customHeight="1">
      <c r="A48" s="97" t="s">
        <v>71</v>
      </c>
      <c r="B48" s="103"/>
      <c r="C48" s="99" t="s">
        <v>72</v>
      </c>
      <c r="D48" s="60">
        <v>0</v>
      </c>
      <c r="E48" s="104">
        <v>0</v>
      </c>
      <c r="F48" s="100">
        <v>0</v>
      </c>
      <c r="G48" s="101">
        <v>0</v>
      </c>
      <c r="H48" s="41">
        <f t="shared" si="4"/>
        <v>0</v>
      </c>
      <c r="I48" s="42" t="str">
        <f>IFERROR(H48/D48*100,"0")</f>
        <v>0</v>
      </c>
    </row>
    <row r="49" spans="1:9" s="102" customFormat="1" ht="12.75" customHeight="1">
      <c r="A49" s="97" t="s">
        <v>73</v>
      </c>
      <c r="B49" s="103"/>
      <c r="C49" s="99" t="s">
        <v>53</v>
      </c>
      <c r="D49" s="60">
        <v>0</v>
      </c>
      <c r="E49" s="104">
        <v>1001213</v>
      </c>
      <c r="F49" s="100">
        <v>-8240</v>
      </c>
      <c r="G49" s="101">
        <v>0</v>
      </c>
      <c r="H49" s="41">
        <f t="shared" si="4"/>
        <v>992973</v>
      </c>
      <c r="I49" s="42" t="str">
        <f>IFERROR(H49/D49*100,"0")</f>
        <v>0</v>
      </c>
    </row>
    <row r="50" spans="1:9" s="102" customFormat="1">
      <c r="A50" s="105" t="s">
        <v>74</v>
      </c>
      <c r="B50" s="45" t="s">
        <v>75</v>
      </c>
      <c r="C50" s="46"/>
      <c r="D50" s="95">
        <v>180000</v>
      </c>
      <c r="E50" s="94">
        <v>128271.60999999999</v>
      </c>
      <c r="F50" s="101">
        <v>131571.41000000003</v>
      </c>
      <c r="G50" s="101">
        <v>0</v>
      </c>
      <c r="H50" s="41">
        <f t="shared" si="4"/>
        <v>259843.02000000002</v>
      </c>
      <c r="I50" s="42">
        <f>H50/D50*100</f>
        <v>144.35723333333334</v>
      </c>
    </row>
    <row r="51" spans="1:9" s="107" customFormat="1" ht="15" customHeight="1">
      <c r="A51" s="93" t="s">
        <v>76</v>
      </c>
      <c r="B51" s="243" t="s">
        <v>77</v>
      </c>
      <c r="C51" s="244"/>
      <c r="D51" s="95">
        <f>D52</f>
        <v>0</v>
      </c>
      <c r="E51" s="96">
        <f>E52</f>
        <v>7153977.9100000011</v>
      </c>
      <c r="F51" s="96">
        <f t="shared" ref="F51" si="5">F52</f>
        <v>8013198.9900000002</v>
      </c>
      <c r="G51" s="101">
        <v>0</v>
      </c>
      <c r="H51" s="106">
        <f>H52</f>
        <v>15167176.900000002</v>
      </c>
      <c r="I51" s="42" t="e">
        <f>H51/D51*100</f>
        <v>#DIV/0!</v>
      </c>
    </row>
    <row r="52" spans="1:9" s="107" customFormat="1">
      <c r="A52" s="105" t="s">
        <v>78</v>
      </c>
      <c r="B52" s="45" t="s">
        <v>79</v>
      </c>
      <c r="C52" s="46"/>
      <c r="D52" s="60">
        <v>0</v>
      </c>
      <c r="E52" s="96">
        <f>E47</f>
        <v>7153977.9100000011</v>
      </c>
      <c r="F52" s="100">
        <v>8013198.9900000002</v>
      </c>
      <c r="G52" s="101">
        <v>0</v>
      </c>
      <c r="H52" s="106">
        <f>SUM(E52:G52)</f>
        <v>15167176.900000002</v>
      </c>
      <c r="I52" s="42" t="e">
        <f>H52/D52*100</f>
        <v>#DIV/0!</v>
      </c>
    </row>
    <row r="53" spans="1:9" s="43" customFormat="1" ht="8.1" customHeight="1">
      <c r="A53" s="1"/>
      <c r="B53" s="108"/>
      <c r="C53" s="108"/>
      <c r="D53" s="109"/>
      <c r="E53" s="109"/>
      <c r="F53" s="86"/>
      <c r="G53" s="86"/>
      <c r="H53" s="84"/>
      <c r="I53" s="85"/>
    </row>
    <row r="54" spans="1:9" s="36" customFormat="1" ht="27" customHeight="1">
      <c r="A54" s="1"/>
      <c r="B54" s="110" t="s">
        <v>80</v>
      </c>
      <c r="C54" s="111"/>
      <c r="D54" s="91" t="s">
        <v>62</v>
      </c>
      <c r="E54" s="32" t="s">
        <v>12</v>
      </c>
      <c r="F54" s="33" t="s">
        <v>13</v>
      </c>
      <c r="G54" s="32" t="s">
        <v>14</v>
      </c>
      <c r="H54" s="34" t="s">
        <v>15</v>
      </c>
      <c r="I54" s="92" t="s">
        <v>16</v>
      </c>
    </row>
    <row r="55" spans="1:9" s="43" customFormat="1" ht="18" customHeight="1">
      <c r="A55" s="37" t="s">
        <v>81</v>
      </c>
      <c r="B55" s="243" t="s">
        <v>82</v>
      </c>
      <c r="C55" s="244"/>
      <c r="D55" s="112">
        <f>D56+D155</f>
        <v>68883210.7958</v>
      </c>
      <c r="E55" s="113">
        <f>E56+E155</f>
        <v>20110159.330000002</v>
      </c>
      <c r="F55" s="114">
        <f>F56+F155</f>
        <v>21730104.949999999</v>
      </c>
      <c r="G55" s="115">
        <f>G56+G155</f>
        <v>0</v>
      </c>
      <c r="H55" s="116">
        <f>H56+H155</f>
        <v>41840264.280000001</v>
      </c>
      <c r="I55" s="117">
        <f>H55/D55*100</f>
        <v>60.740874004890486</v>
      </c>
    </row>
    <row r="56" spans="1:9" s="43" customFormat="1" ht="18" customHeight="1">
      <c r="A56" s="37" t="s">
        <v>83</v>
      </c>
      <c r="B56" s="45" t="s">
        <v>84</v>
      </c>
      <c r="C56" s="46"/>
      <c r="D56" s="112">
        <f>D57+D70+D79+D96+D103+D148</f>
        <v>68883210.7958</v>
      </c>
      <c r="E56" s="113">
        <f>E57+E70+E79+E96+E103+E148</f>
        <v>19978188.990000002</v>
      </c>
      <c r="F56" s="114">
        <f t="shared" ref="F56" si="6">F57+F70+F79+F96+F103+F148</f>
        <v>21674098.609999999</v>
      </c>
      <c r="G56" s="115">
        <f>G57+G70+G79+G96+G103+G148</f>
        <v>0</v>
      </c>
      <c r="H56" s="116">
        <f>H57+H70+H79+H96+H103+H148</f>
        <v>41652287.600000001</v>
      </c>
      <c r="I56" s="117">
        <f>H56/D56*100</f>
        <v>60.467982137876263</v>
      </c>
    </row>
    <row r="57" spans="1:9" s="43" customFormat="1" ht="12.75" customHeight="1">
      <c r="A57" s="37" t="s">
        <v>85</v>
      </c>
      <c r="B57" s="118"/>
      <c r="C57" s="119" t="s">
        <v>86</v>
      </c>
      <c r="D57" s="50">
        <f>D58+D61+D64+D67</f>
        <v>31522569.780000001</v>
      </c>
      <c r="E57" s="120">
        <f>E58+E61+E64+E67</f>
        <v>9246872.7600000016</v>
      </c>
      <c r="F57" s="121">
        <f t="shared" ref="F57:G57" si="7">F58+F61+F64+F67</f>
        <v>10398394.710000001</v>
      </c>
      <c r="G57" s="122">
        <f t="shared" si="7"/>
        <v>0</v>
      </c>
      <c r="H57" s="120">
        <f>H58+H61+H64+H67</f>
        <v>19645267.470000003</v>
      </c>
      <c r="I57" s="117">
        <f>H57/D57*100</f>
        <v>62.321275223139509</v>
      </c>
    </row>
    <row r="58" spans="1:9" s="43" customFormat="1">
      <c r="A58" s="123" t="s">
        <v>87</v>
      </c>
      <c r="B58" s="103"/>
      <c r="C58" s="124" t="s">
        <v>88</v>
      </c>
      <c r="D58" s="50">
        <f>D59+D60</f>
        <v>2021081.4</v>
      </c>
      <c r="E58" s="114">
        <f>SUM(E59:E60)</f>
        <v>603586.18999999994</v>
      </c>
      <c r="F58" s="114">
        <f t="shared" ref="F58:G58" si="8">SUM(F59:F60)</f>
        <v>630017.08000000007</v>
      </c>
      <c r="G58" s="114">
        <f t="shared" si="8"/>
        <v>0</v>
      </c>
      <c r="H58" s="125">
        <f>SUM(H59:H60)</f>
        <v>1233603.27</v>
      </c>
      <c r="I58" s="42">
        <f t="shared" ref="I58:I66" si="9">H58/D58*100</f>
        <v>61.036792976274981</v>
      </c>
    </row>
    <row r="59" spans="1:9" s="43" customFormat="1">
      <c r="A59" s="123" t="s">
        <v>89</v>
      </c>
      <c r="B59" s="126"/>
      <c r="C59" s="127" t="s">
        <v>90</v>
      </c>
      <c r="D59" s="59">
        <v>653387.27</v>
      </c>
      <c r="E59" s="104">
        <v>184704.3</v>
      </c>
      <c r="F59" s="100">
        <v>200518.88</v>
      </c>
      <c r="G59" s="101">
        <v>0</v>
      </c>
      <c r="H59" s="128">
        <f>SUM(E59:G59)</f>
        <v>385223.18</v>
      </c>
      <c r="I59" s="42">
        <f t="shared" si="9"/>
        <v>58.957864299988586</v>
      </c>
    </row>
    <row r="60" spans="1:9" s="43" customFormat="1">
      <c r="A60" s="123" t="s">
        <v>91</v>
      </c>
      <c r="B60" s="126"/>
      <c r="C60" s="127" t="s">
        <v>92</v>
      </c>
      <c r="D60" s="59">
        <v>1367694.13</v>
      </c>
      <c r="E60" s="104">
        <v>418881.89</v>
      </c>
      <c r="F60" s="100">
        <v>429498.20000000007</v>
      </c>
      <c r="G60" s="101">
        <v>0</v>
      </c>
      <c r="H60" s="128">
        <f>SUM(E60:G60)</f>
        <v>848380.09000000008</v>
      </c>
      <c r="I60" s="42">
        <f t="shared" si="9"/>
        <v>62.029957677744818</v>
      </c>
    </row>
    <row r="61" spans="1:9" s="43" customFormat="1" ht="12.75" customHeight="1">
      <c r="A61" s="123" t="s">
        <v>93</v>
      </c>
      <c r="B61" s="103"/>
      <c r="C61" s="124" t="s">
        <v>94</v>
      </c>
      <c r="D61" s="50">
        <f>D62+D63</f>
        <v>28655466.140000001</v>
      </c>
      <c r="E61" s="114">
        <f>E62+E63</f>
        <v>8479271.0900000017</v>
      </c>
      <c r="F61" s="114">
        <f t="shared" ref="F61:G61" si="10">F62+F63</f>
        <v>9555302.1099999994</v>
      </c>
      <c r="G61" s="114">
        <f t="shared" si="10"/>
        <v>0</v>
      </c>
      <c r="H61" s="125">
        <f>SUM(H62:H63)</f>
        <v>18034573.200000003</v>
      </c>
      <c r="I61" s="42">
        <f t="shared" si="9"/>
        <v>62.935891923341089</v>
      </c>
    </row>
    <row r="62" spans="1:9" s="43" customFormat="1">
      <c r="A62" s="123" t="s">
        <v>95</v>
      </c>
      <c r="B62" s="126"/>
      <c r="C62" s="127" t="s">
        <v>90</v>
      </c>
      <c r="D62" s="59">
        <v>4835031.07</v>
      </c>
      <c r="E62" s="104">
        <v>1428447.2399999998</v>
      </c>
      <c r="F62" s="100">
        <v>1484120.27</v>
      </c>
      <c r="G62" s="101">
        <v>0</v>
      </c>
      <c r="H62" s="128">
        <f>SUM(E62:G62)</f>
        <v>2912567.51</v>
      </c>
      <c r="I62" s="42">
        <f t="shared" si="9"/>
        <v>60.238858196210096</v>
      </c>
    </row>
    <row r="63" spans="1:9" s="43" customFormat="1">
      <c r="A63" s="123" t="s">
        <v>96</v>
      </c>
      <c r="B63" s="126"/>
      <c r="C63" s="127" t="s">
        <v>92</v>
      </c>
      <c r="D63" s="59">
        <v>23820435.07</v>
      </c>
      <c r="E63" s="104">
        <v>7050823.8500000015</v>
      </c>
      <c r="F63" s="100">
        <v>8071181.8399999999</v>
      </c>
      <c r="G63" s="101">
        <v>0</v>
      </c>
      <c r="H63" s="128">
        <f>SUM(E63:G63)</f>
        <v>15122005.690000001</v>
      </c>
      <c r="I63" s="42">
        <f t="shared" si="9"/>
        <v>63.483331205167616</v>
      </c>
    </row>
    <row r="64" spans="1:9" s="43" customFormat="1" ht="12.75" customHeight="1">
      <c r="A64" s="123" t="s">
        <v>97</v>
      </c>
      <c r="B64" s="103"/>
      <c r="C64" s="124" t="s">
        <v>98</v>
      </c>
      <c r="D64" s="50">
        <f>D65+D66</f>
        <v>609650.71</v>
      </c>
      <c r="E64" s="114">
        <f t="shared" ref="E64:G64" si="11">SUM(E65:E66)</f>
        <v>75046.26999999999</v>
      </c>
      <c r="F64" s="114">
        <f t="shared" si="11"/>
        <v>80560.459999999992</v>
      </c>
      <c r="G64" s="114">
        <f t="shared" si="11"/>
        <v>0</v>
      </c>
      <c r="H64" s="125">
        <f>SUM(H65:H66)</f>
        <v>155606.72999999998</v>
      </c>
      <c r="I64" s="42">
        <f t="shared" si="9"/>
        <v>25.52391516119123</v>
      </c>
    </row>
    <row r="65" spans="1:9" s="43" customFormat="1">
      <c r="A65" s="123" t="s">
        <v>99</v>
      </c>
      <c r="B65" s="126"/>
      <c r="C65" s="127" t="s">
        <v>90</v>
      </c>
      <c r="D65" s="59">
        <v>39676.6</v>
      </c>
      <c r="E65" s="104">
        <v>2982.93</v>
      </c>
      <c r="F65" s="100">
        <v>7072</v>
      </c>
      <c r="G65" s="101">
        <v>0</v>
      </c>
      <c r="H65" s="128">
        <f>SUM(E65:G65)</f>
        <v>10054.93</v>
      </c>
      <c r="I65" s="42">
        <f t="shared" si="9"/>
        <v>25.34221682301407</v>
      </c>
    </row>
    <row r="66" spans="1:9" s="43" customFormat="1">
      <c r="A66" s="123" t="s">
        <v>100</v>
      </c>
      <c r="B66" s="126"/>
      <c r="C66" s="127" t="s">
        <v>92</v>
      </c>
      <c r="D66" s="59">
        <v>569974.11</v>
      </c>
      <c r="E66" s="104">
        <v>72063.34</v>
      </c>
      <c r="F66" s="100">
        <v>73488.459999999992</v>
      </c>
      <c r="G66" s="101">
        <v>0</v>
      </c>
      <c r="H66" s="128">
        <f>SUM(E66:G66)</f>
        <v>145551.79999999999</v>
      </c>
      <c r="I66" s="42">
        <f t="shared" si="9"/>
        <v>25.53656340636244</v>
      </c>
    </row>
    <row r="67" spans="1:9" s="43" customFormat="1" ht="12.75" customHeight="1">
      <c r="A67" s="123" t="s">
        <v>101</v>
      </c>
      <c r="B67" s="103"/>
      <c r="C67" s="124" t="s">
        <v>102</v>
      </c>
      <c r="D67" s="50">
        <f>D68+D69</f>
        <v>236371.53</v>
      </c>
      <c r="E67" s="114">
        <f t="shared" ref="E67:G67" si="12">SUM(E68:E69)</f>
        <v>88969.209999999992</v>
      </c>
      <c r="F67" s="114">
        <f t="shared" si="12"/>
        <v>132515.06</v>
      </c>
      <c r="G67" s="114">
        <f t="shared" si="12"/>
        <v>0</v>
      </c>
      <c r="H67" s="125">
        <f>SUM(H68:H69)</f>
        <v>221484.27000000002</v>
      </c>
      <c r="I67" s="42">
        <f>IFERROR(H67/D67*100,"0")</f>
        <v>93.701754183340114</v>
      </c>
    </row>
    <row r="68" spans="1:9" s="43" customFormat="1">
      <c r="A68" s="123" t="s">
        <v>103</v>
      </c>
      <c r="B68" s="126"/>
      <c r="C68" s="127" t="s">
        <v>90</v>
      </c>
      <c r="D68" s="59">
        <v>52761.5</v>
      </c>
      <c r="E68" s="104">
        <v>17099.629999999997</v>
      </c>
      <c r="F68" s="100">
        <v>34899.800000000003</v>
      </c>
      <c r="G68" s="101">
        <v>0</v>
      </c>
      <c r="H68" s="128">
        <f>SUM(E68:G68)</f>
        <v>51999.43</v>
      </c>
      <c r="I68" s="42">
        <f>IFERROR(H68/D68*100,"0")</f>
        <v>98.555632421367861</v>
      </c>
    </row>
    <row r="69" spans="1:9" s="43" customFormat="1">
      <c r="A69" s="123" t="s">
        <v>104</v>
      </c>
      <c r="B69" s="126"/>
      <c r="C69" s="127" t="s">
        <v>92</v>
      </c>
      <c r="D69" s="59">
        <v>183610.03</v>
      </c>
      <c r="E69" s="104">
        <v>71869.58</v>
      </c>
      <c r="F69" s="100">
        <v>97615.260000000009</v>
      </c>
      <c r="G69" s="101">
        <v>0</v>
      </c>
      <c r="H69" s="128">
        <f>SUM(E69:G69)</f>
        <v>169484.84000000003</v>
      </c>
      <c r="I69" s="42">
        <f>IFERROR(H69/D69*100,"0")</f>
        <v>92.30696166217065</v>
      </c>
    </row>
    <row r="70" spans="1:9" s="43" customFormat="1" ht="28.5" customHeight="1">
      <c r="A70" s="37" t="s">
        <v>105</v>
      </c>
      <c r="B70" s="118"/>
      <c r="C70" s="119" t="s">
        <v>106</v>
      </c>
      <c r="D70" s="50">
        <f t="shared" ref="D70" si="13">SUM(D71:D78)</f>
        <v>8922530.7367999982</v>
      </c>
      <c r="E70" s="114">
        <f>SUM(E71:E78)</f>
        <v>2715911.3800000004</v>
      </c>
      <c r="F70" s="114">
        <f>SUM(F71:F78)</f>
        <v>2711527.5500000003</v>
      </c>
      <c r="G70" s="114">
        <f>SUM(G71:G78)</f>
        <v>0</v>
      </c>
      <c r="H70" s="125">
        <f>SUM(H71:H78)</f>
        <v>5427438.9299999997</v>
      </c>
      <c r="I70" s="42">
        <f t="shared" ref="I70:I77" si="14">H70/D70*100</f>
        <v>60.82846997225937</v>
      </c>
    </row>
    <row r="71" spans="1:9" s="43" customFormat="1">
      <c r="A71" s="123" t="s">
        <v>107</v>
      </c>
      <c r="B71" s="126"/>
      <c r="C71" s="99" t="s">
        <v>108</v>
      </c>
      <c r="D71" s="60">
        <v>1665115.4263999998</v>
      </c>
      <c r="E71" s="104">
        <v>540178.02</v>
      </c>
      <c r="F71" s="100">
        <v>551355</v>
      </c>
      <c r="G71" s="101">
        <v>0</v>
      </c>
      <c r="H71" s="128">
        <f t="shared" ref="H71:H78" si="15">SUM(E71:G71)</f>
        <v>1091533.02</v>
      </c>
      <c r="I71" s="42">
        <f t="shared" si="14"/>
        <v>65.55299426658415</v>
      </c>
    </row>
    <row r="72" spans="1:9" s="43" customFormat="1" ht="12.75" customHeight="1">
      <c r="A72" s="123" t="s">
        <v>109</v>
      </c>
      <c r="B72" s="126"/>
      <c r="C72" s="99" t="s">
        <v>110</v>
      </c>
      <c r="D72" s="60">
        <v>5288138.2104000002</v>
      </c>
      <c r="E72" s="104">
        <v>1727902.2100000002</v>
      </c>
      <c r="F72" s="100">
        <v>1727901.1800000002</v>
      </c>
      <c r="G72" s="101">
        <v>0</v>
      </c>
      <c r="H72" s="128">
        <f t="shared" si="15"/>
        <v>3455803.3900000006</v>
      </c>
      <c r="I72" s="42">
        <f t="shared" si="14"/>
        <v>65.350095865565521</v>
      </c>
    </row>
    <row r="73" spans="1:9" s="43" customFormat="1">
      <c r="A73" s="123" t="s">
        <v>111</v>
      </c>
      <c r="B73" s="126"/>
      <c r="C73" s="99" t="s">
        <v>112</v>
      </c>
      <c r="D73" s="60">
        <v>179508.8</v>
      </c>
      <c r="E73" s="104">
        <v>54605.909999999996</v>
      </c>
      <c r="F73" s="100">
        <v>53671.08</v>
      </c>
      <c r="G73" s="101">
        <v>0</v>
      </c>
      <c r="H73" s="128">
        <f t="shared" si="15"/>
        <v>108276.98999999999</v>
      </c>
      <c r="I73" s="42">
        <f t="shared" si="14"/>
        <v>60.318485778970164</v>
      </c>
    </row>
    <row r="74" spans="1:9" s="43" customFormat="1" ht="12.75" customHeight="1">
      <c r="A74" s="123" t="s">
        <v>113</v>
      </c>
      <c r="B74" s="126"/>
      <c r="C74" s="99" t="s">
        <v>114</v>
      </c>
      <c r="D74" s="60">
        <v>782553.59999999998</v>
      </c>
      <c r="E74" s="104">
        <v>186892.02</v>
      </c>
      <c r="F74" s="100">
        <v>215731.33000000002</v>
      </c>
      <c r="G74" s="101">
        <v>0</v>
      </c>
      <c r="H74" s="128">
        <f t="shared" si="15"/>
        <v>402623.35</v>
      </c>
      <c r="I74" s="42">
        <f t="shared" si="14"/>
        <v>51.449939020151461</v>
      </c>
    </row>
    <row r="75" spans="1:9" s="130" customFormat="1" ht="12.75" customHeight="1">
      <c r="A75" s="129" t="s">
        <v>115</v>
      </c>
      <c r="B75" s="54"/>
      <c r="C75" s="55" t="s">
        <v>116</v>
      </c>
      <c r="D75" s="60">
        <v>749060.08000000007</v>
      </c>
      <c r="E75" s="104">
        <v>190335.82</v>
      </c>
      <c r="F75" s="100">
        <v>150971.04000000004</v>
      </c>
      <c r="G75" s="101">
        <v>0</v>
      </c>
      <c r="H75" s="128">
        <f t="shared" si="15"/>
        <v>341306.86000000004</v>
      </c>
      <c r="I75" s="42">
        <f t="shared" si="14"/>
        <v>45.564684210644359</v>
      </c>
    </row>
    <row r="76" spans="1:9" s="130" customFormat="1">
      <c r="A76" s="129" t="s">
        <v>117</v>
      </c>
      <c r="B76" s="54"/>
      <c r="C76" s="55" t="s">
        <v>118</v>
      </c>
      <c r="D76" s="60">
        <v>30000</v>
      </c>
      <c r="E76" s="104">
        <v>4100.6000000000004</v>
      </c>
      <c r="F76" s="100">
        <v>0</v>
      </c>
      <c r="G76" s="101">
        <v>0</v>
      </c>
      <c r="H76" s="128">
        <f t="shared" si="15"/>
        <v>4100.6000000000004</v>
      </c>
      <c r="I76" s="42">
        <f>IFERROR(H76/D76*100,"0")</f>
        <v>13.668666666666669</v>
      </c>
    </row>
    <row r="77" spans="1:9" s="130" customFormat="1">
      <c r="A77" s="129" t="s">
        <v>119</v>
      </c>
      <c r="B77" s="54"/>
      <c r="C77" s="55" t="s">
        <v>120</v>
      </c>
      <c r="D77" s="60">
        <v>188616</v>
      </c>
      <c r="E77" s="104">
        <v>0</v>
      </c>
      <c r="F77" s="100">
        <v>0</v>
      </c>
      <c r="G77" s="101">
        <v>0</v>
      </c>
      <c r="H77" s="128">
        <f t="shared" si="15"/>
        <v>0</v>
      </c>
      <c r="I77" s="42">
        <f t="shared" si="14"/>
        <v>0</v>
      </c>
    </row>
    <row r="78" spans="1:9" s="43" customFormat="1" ht="12.75" customHeight="1">
      <c r="A78" s="123" t="s">
        <v>121</v>
      </c>
      <c r="B78" s="126"/>
      <c r="C78" s="99" t="s">
        <v>122</v>
      </c>
      <c r="D78" s="60">
        <v>39538.619999999995</v>
      </c>
      <c r="E78" s="104">
        <v>11896.8</v>
      </c>
      <c r="F78" s="100">
        <v>11897.92</v>
      </c>
      <c r="G78" s="101">
        <v>0</v>
      </c>
      <c r="H78" s="128">
        <f t="shared" si="15"/>
        <v>23794.720000000001</v>
      </c>
      <c r="I78" s="42">
        <f>IFERROR(H78/D78*100,"0")</f>
        <v>60.18095725141648</v>
      </c>
    </row>
    <row r="79" spans="1:9" s="43" customFormat="1" ht="18" customHeight="1">
      <c r="A79" s="37" t="s">
        <v>123</v>
      </c>
      <c r="B79" s="118"/>
      <c r="C79" s="119" t="s">
        <v>124</v>
      </c>
      <c r="D79" s="50">
        <f>SUM(D80:D81)+SUM(D88:D95)</f>
        <v>5750251.0810000002</v>
      </c>
      <c r="E79" s="94">
        <f>SUM(E80:E81)+SUM(E88:E95)</f>
        <v>1371634.13</v>
      </c>
      <c r="F79" s="94">
        <f>SUM(F80:F81)+SUM(F88:F95)</f>
        <v>1315656.02</v>
      </c>
      <c r="G79" s="94">
        <f>SUM(G80:G81)+SUM(G88:G95)</f>
        <v>0</v>
      </c>
      <c r="H79" s="94">
        <f>SUM(H80:H81)+SUM(H88:H95)</f>
        <v>2687290.1500000004</v>
      </c>
      <c r="I79" s="42">
        <f>H79/D79*100</f>
        <v>46.733440194974335</v>
      </c>
    </row>
    <row r="80" spans="1:9" s="43" customFormat="1" ht="12.75" customHeight="1">
      <c r="A80" s="123" t="s">
        <v>125</v>
      </c>
      <c r="B80" s="126"/>
      <c r="C80" s="99" t="s">
        <v>126</v>
      </c>
      <c r="D80" s="59">
        <v>0</v>
      </c>
      <c r="E80" s="104">
        <v>0</v>
      </c>
      <c r="F80" s="104">
        <v>0</v>
      </c>
      <c r="G80" s="101">
        <v>0</v>
      </c>
      <c r="H80" s="128">
        <f t="shared" ref="H80:H86" si="16">SUM(E80:G80)</f>
        <v>0</v>
      </c>
      <c r="I80" s="42" t="str">
        <f>IFERROR(H80/D80*100,"0")</f>
        <v>0</v>
      </c>
    </row>
    <row r="81" spans="1:9" s="43" customFormat="1">
      <c r="A81" s="123" t="s">
        <v>127</v>
      </c>
      <c r="B81" s="126"/>
      <c r="C81" s="131" t="s">
        <v>128</v>
      </c>
      <c r="D81" s="132">
        <v>4061947.4509999999</v>
      </c>
      <c r="E81" s="104">
        <f>SUM(E82:E86)</f>
        <v>1041513.78</v>
      </c>
      <c r="F81" s="104">
        <f>SUM(F82:F86)</f>
        <v>959806.48</v>
      </c>
      <c r="G81" s="104">
        <f>SUM(G82:G86)</f>
        <v>0</v>
      </c>
      <c r="H81" s="128">
        <f t="shared" si="16"/>
        <v>2001320.26</v>
      </c>
      <c r="I81" s="42">
        <f t="shared" ref="I81:I86" si="17">H81/D81*100</f>
        <v>49.269969248550971</v>
      </c>
    </row>
    <row r="82" spans="1:9" s="43" customFormat="1">
      <c r="A82" s="123" t="s">
        <v>129</v>
      </c>
      <c r="B82" s="126"/>
      <c r="C82" s="127" t="s">
        <v>130</v>
      </c>
      <c r="D82" s="132">
        <v>603856.58299999998</v>
      </c>
      <c r="E82" s="104">
        <v>180898.24</v>
      </c>
      <c r="F82" s="100">
        <v>136639.74</v>
      </c>
      <c r="G82" s="101">
        <v>0</v>
      </c>
      <c r="H82" s="128">
        <f t="shared" si="16"/>
        <v>317537.98</v>
      </c>
      <c r="I82" s="42">
        <f t="shared" si="17"/>
        <v>52.584999309347594</v>
      </c>
    </row>
    <row r="83" spans="1:9" s="43" customFormat="1">
      <c r="A83" s="123" t="s">
        <v>131</v>
      </c>
      <c r="B83" s="126"/>
      <c r="C83" s="127" t="s">
        <v>132</v>
      </c>
      <c r="D83" s="132">
        <v>3209781.4679999999</v>
      </c>
      <c r="E83" s="104">
        <v>804339.44</v>
      </c>
      <c r="F83" s="100">
        <v>758301.75</v>
      </c>
      <c r="G83" s="101">
        <v>0</v>
      </c>
      <c r="H83" s="128">
        <f t="shared" si="16"/>
        <v>1562641.19</v>
      </c>
      <c r="I83" s="42">
        <f t="shared" si="17"/>
        <v>48.683725218641584</v>
      </c>
    </row>
    <row r="84" spans="1:9" s="43" customFormat="1">
      <c r="A84" s="123" t="s">
        <v>133</v>
      </c>
      <c r="B84" s="126"/>
      <c r="C84" s="127" t="s">
        <v>134</v>
      </c>
      <c r="D84" s="132">
        <v>46200.000000000007</v>
      </c>
      <c r="E84" s="104">
        <v>2834.7599999999998</v>
      </c>
      <c r="F84" s="100">
        <v>3282.6099999999997</v>
      </c>
      <c r="G84" s="101">
        <v>0</v>
      </c>
      <c r="H84" s="128">
        <f t="shared" si="16"/>
        <v>6117.369999999999</v>
      </c>
      <c r="I84" s="42">
        <f t="shared" si="17"/>
        <v>13.2410606060606</v>
      </c>
    </row>
    <row r="85" spans="1:9" s="43" customFormat="1">
      <c r="A85" s="123" t="s">
        <v>135</v>
      </c>
      <c r="B85" s="126"/>
      <c r="C85" s="127" t="s">
        <v>136</v>
      </c>
      <c r="D85" s="132">
        <v>150509.4</v>
      </c>
      <c r="E85" s="104">
        <v>45037.16</v>
      </c>
      <c r="F85" s="100">
        <v>51132.86</v>
      </c>
      <c r="G85" s="101">
        <v>0</v>
      </c>
      <c r="H85" s="128">
        <f t="shared" si="16"/>
        <v>96170.02</v>
      </c>
      <c r="I85" s="42">
        <f t="shared" si="17"/>
        <v>63.896354646287875</v>
      </c>
    </row>
    <row r="86" spans="1:9" s="43" customFormat="1">
      <c r="A86" s="123" t="s">
        <v>137</v>
      </c>
      <c r="B86" s="126"/>
      <c r="C86" s="127" t="s">
        <v>138</v>
      </c>
      <c r="D86" s="132">
        <v>51600</v>
      </c>
      <c r="E86" s="104">
        <v>8404.18</v>
      </c>
      <c r="F86" s="100">
        <v>10449.519999999999</v>
      </c>
      <c r="G86" s="101">
        <v>0</v>
      </c>
      <c r="H86" s="128">
        <f t="shared" si="16"/>
        <v>18853.699999999997</v>
      </c>
      <c r="I86" s="42">
        <f t="shared" si="17"/>
        <v>36.538178294573633</v>
      </c>
    </row>
    <row r="87" spans="1:9" s="43" customFormat="1">
      <c r="A87" s="123" t="s">
        <v>139</v>
      </c>
      <c r="B87" s="126"/>
      <c r="C87" s="127" t="s">
        <v>140</v>
      </c>
      <c r="D87" s="132">
        <v>0</v>
      </c>
      <c r="E87" s="104">
        <v>0</v>
      </c>
      <c r="F87" s="100">
        <v>0</v>
      </c>
      <c r="G87" s="101">
        <v>0</v>
      </c>
      <c r="H87" s="128"/>
      <c r="I87" s="42" t="str">
        <f>IFERROR(H87/D87*100,"0")</f>
        <v>0</v>
      </c>
    </row>
    <row r="88" spans="1:9" s="43" customFormat="1" ht="12.75" customHeight="1">
      <c r="A88" s="123" t="s">
        <v>141</v>
      </c>
      <c r="B88" s="54"/>
      <c r="C88" s="55" t="s">
        <v>142</v>
      </c>
      <c r="D88" s="132">
        <v>136000</v>
      </c>
      <c r="E88" s="104">
        <v>16566.3</v>
      </c>
      <c r="F88" s="100">
        <v>34666.14</v>
      </c>
      <c r="G88" s="101">
        <v>0</v>
      </c>
      <c r="H88" s="128">
        <f t="shared" ref="H88:H93" si="18">SUM(E88:G88)</f>
        <v>51232.44</v>
      </c>
      <c r="I88" s="42">
        <f>IFERROR(H88/D88*100,"0")</f>
        <v>37.670911764705885</v>
      </c>
    </row>
    <row r="89" spans="1:9" s="130" customFormat="1" ht="12.75" customHeight="1">
      <c r="A89" s="129" t="s">
        <v>143</v>
      </c>
      <c r="B89" s="54"/>
      <c r="C89" s="55" t="s">
        <v>144</v>
      </c>
      <c r="D89" s="132">
        <v>75300</v>
      </c>
      <c r="E89" s="104">
        <v>7324.56</v>
      </c>
      <c r="F89" s="100">
        <v>30623.71</v>
      </c>
      <c r="G89" s="101">
        <v>0</v>
      </c>
      <c r="H89" s="128">
        <f t="shared" si="18"/>
        <v>37948.269999999997</v>
      </c>
      <c r="I89" s="42">
        <f>H89/D89*100</f>
        <v>50.396108897742366</v>
      </c>
    </row>
    <row r="90" spans="1:9" s="43" customFormat="1" ht="12.75" customHeight="1">
      <c r="A90" s="123" t="s">
        <v>145</v>
      </c>
      <c r="B90" s="54"/>
      <c r="C90" s="55" t="s">
        <v>146</v>
      </c>
      <c r="D90" s="132">
        <v>451280</v>
      </c>
      <c r="E90" s="104">
        <v>144147.03</v>
      </c>
      <c r="F90" s="100">
        <v>102353.37000000001</v>
      </c>
      <c r="G90" s="101">
        <v>0</v>
      </c>
      <c r="H90" s="128">
        <f t="shared" si="18"/>
        <v>246500.40000000002</v>
      </c>
      <c r="I90" s="42">
        <f>H90/D90*100</f>
        <v>54.622496011345511</v>
      </c>
    </row>
    <row r="91" spans="1:9" s="43" customFormat="1" ht="12.75" customHeight="1">
      <c r="A91" s="129" t="s">
        <v>147</v>
      </c>
      <c r="B91" s="54"/>
      <c r="C91" s="55" t="s">
        <v>148</v>
      </c>
      <c r="D91" s="132">
        <v>57000</v>
      </c>
      <c r="E91" s="104">
        <v>86402.63</v>
      </c>
      <c r="F91" s="100">
        <v>65303.9</v>
      </c>
      <c r="G91" s="101">
        <v>0</v>
      </c>
      <c r="H91" s="128">
        <f t="shared" si="18"/>
        <v>151706.53</v>
      </c>
      <c r="I91" s="42">
        <f>H91/D91*100</f>
        <v>266.15180701754383</v>
      </c>
    </row>
    <row r="92" spans="1:9" s="43" customFormat="1" ht="12.75" customHeight="1">
      <c r="A92" s="123" t="s">
        <v>149</v>
      </c>
      <c r="B92" s="126"/>
      <c r="C92" s="99" t="s">
        <v>150</v>
      </c>
      <c r="D92" s="132">
        <v>116723.63</v>
      </c>
      <c r="E92" s="104">
        <v>25223.599999999999</v>
      </c>
      <c r="F92" s="100">
        <v>21854.190000000002</v>
      </c>
      <c r="G92" s="101">
        <v>0</v>
      </c>
      <c r="H92" s="128">
        <f t="shared" si="18"/>
        <v>47077.79</v>
      </c>
      <c r="I92" s="42">
        <f>H92/D92*100</f>
        <v>40.332698700340281</v>
      </c>
    </row>
    <row r="93" spans="1:9" s="43" customFormat="1" ht="12.75" customHeight="1">
      <c r="A93" s="123" t="s">
        <v>151</v>
      </c>
      <c r="B93" s="126"/>
      <c r="C93" s="99" t="s">
        <v>152</v>
      </c>
      <c r="D93" s="132">
        <v>150000</v>
      </c>
      <c r="E93" s="104">
        <v>30099.75</v>
      </c>
      <c r="F93" s="100">
        <v>80868.91</v>
      </c>
      <c r="G93" s="101">
        <v>0</v>
      </c>
      <c r="H93" s="128">
        <f t="shared" si="18"/>
        <v>110968.66</v>
      </c>
      <c r="I93" s="42">
        <f>IFERROR(H93/D93*100,"0")</f>
        <v>73.979106666666667</v>
      </c>
    </row>
    <row r="94" spans="1:9" s="43" customFormat="1" ht="12.75" customHeight="1">
      <c r="A94" s="123" t="s">
        <v>153</v>
      </c>
      <c r="B94" s="126"/>
      <c r="C94" s="99" t="s">
        <v>154</v>
      </c>
      <c r="D94" s="132">
        <v>0</v>
      </c>
      <c r="E94" s="104"/>
      <c r="F94" s="100">
        <v>0</v>
      </c>
      <c r="G94" s="101">
        <v>0</v>
      </c>
      <c r="H94" s="128"/>
      <c r="I94" s="42" t="str">
        <f>IFERROR(H94/D94*100,"0")</f>
        <v>0</v>
      </c>
    </row>
    <row r="95" spans="1:9" s="130" customFormat="1" ht="12.75" customHeight="1">
      <c r="A95" s="123" t="s">
        <v>155</v>
      </c>
      <c r="B95" s="54"/>
      <c r="C95" s="55" t="s">
        <v>156</v>
      </c>
      <c r="D95" s="132">
        <v>702000</v>
      </c>
      <c r="E95" s="104">
        <v>20356.48</v>
      </c>
      <c r="F95" s="100">
        <v>20179.32</v>
      </c>
      <c r="G95" s="101">
        <v>0</v>
      </c>
      <c r="H95" s="128">
        <f>SUM(E95:G95)</f>
        <v>40535.800000000003</v>
      </c>
      <c r="I95" s="42">
        <f>IFERROR(H95/D95*100,"0")</f>
        <v>5.7743304843304841</v>
      </c>
    </row>
    <row r="96" spans="1:9" s="43" customFormat="1" ht="12.75" customHeight="1">
      <c r="A96" s="37" t="s">
        <v>157</v>
      </c>
      <c r="B96" s="118"/>
      <c r="C96" s="119" t="s">
        <v>158</v>
      </c>
      <c r="D96" s="50">
        <f t="shared" ref="D96:G96" si="19">SUM(D97:D102)</f>
        <v>1974400.6620000002</v>
      </c>
      <c r="E96" s="133">
        <f>SUM(E97:E102)</f>
        <v>1413269.41</v>
      </c>
      <c r="F96" s="121">
        <f>SUM(F97:F102)</f>
        <v>2660289.4000000004</v>
      </c>
      <c r="G96" s="121">
        <f t="shared" si="19"/>
        <v>0</v>
      </c>
      <c r="H96" s="125">
        <f>SUM(H97:H102)</f>
        <v>4073558.8100000005</v>
      </c>
      <c r="I96" s="42">
        <f>H96/D96*100</f>
        <v>206.31875223712822</v>
      </c>
    </row>
    <row r="97" spans="1:9" s="43" customFormat="1" ht="33" customHeight="1">
      <c r="A97" s="134" t="s">
        <v>159</v>
      </c>
      <c r="B97" s="54"/>
      <c r="C97" s="55" t="s">
        <v>160</v>
      </c>
      <c r="D97" s="132">
        <v>1592370.3280000002</v>
      </c>
      <c r="E97" s="104">
        <v>1251392.8900000001</v>
      </c>
      <c r="F97" s="100">
        <v>2493124.6700000004</v>
      </c>
      <c r="G97" s="101">
        <v>0</v>
      </c>
      <c r="H97" s="128">
        <f t="shared" ref="H97:H102" si="20">SUM(E97:G97)</f>
        <v>3744517.5600000005</v>
      </c>
      <c r="I97" s="42">
        <f>H97/D97*100</f>
        <v>235.15368844526722</v>
      </c>
    </row>
    <row r="98" spans="1:9" s="43" customFormat="1" ht="12.75" customHeight="1">
      <c r="A98" s="134" t="s">
        <v>161</v>
      </c>
      <c r="B98" s="126"/>
      <c r="C98" s="99" t="s">
        <v>162</v>
      </c>
      <c r="D98" s="132">
        <v>223030.334</v>
      </c>
      <c r="E98" s="104">
        <v>50402.19</v>
      </c>
      <c r="F98" s="100">
        <v>73603.12</v>
      </c>
      <c r="G98" s="101">
        <v>0</v>
      </c>
      <c r="H98" s="128">
        <f t="shared" si="20"/>
        <v>124005.31</v>
      </c>
      <c r="I98" s="42">
        <f>H98/D98*100</f>
        <v>55.600199208776679</v>
      </c>
    </row>
    <row r="99" spans="1:9" s="43" customFormat="1" ht="12.75" customHeight="1">
      <c r="A99" s="134" t="s">
        <v>163</v>
      </c>
      <c r="B99" s="126"/>
      <c r="C99" s="99" t="s">
        <v>164</v>
      </c>
      <c r="D99" s="132">
        <v>0</v>
      </c>
      <c r="E99" s="104">
        <v>0</v>
      </c>
      <c r="F99" s="100">
        <v>0</v>
      </c>
      <c r="G99" s="101">
        <v>0</v>
      </c>
      <c r="H99" s="128">
        <f t="shared" si="20"/>
        <v>0</v>
      </c>
      <c r="I99" s="42" t="str">
        <f>IFERROR(H99/D99*100,"0")</f>
        <v>0</v>
      </c>
    </row>
    <row r="100" spans="1:9" s="43" customFormat="1" ht="12.75" customHeight="1">
      <c r="A100" s="134" t="s">
        <v>165</v>
      </c>
      <c r="B100" s="126"/>
      <c r="C100" s="99" t="s">
        <v>166</v>
      </c>
      <c r="D100" s="132">
        <v>159000</v>
      </c>
      <c r="E100" s="104">
        <v>31987.440000000002</v>
      </c>
      <c r="F100" s="100">
        <v>48334.770000000004</v>
      </c>
      <c r="G100" s="101">
        <v>0</v>
      </c>
      <c r="H100" s="128">
        <f t="shared" si="20"/>
        <v>80322.210000000006</v>
      </c>
      <c r="I100" s="42">
        <f>IFERROR(H100/D100*100,"0")</f>
        <v>50.517113207547169</v>
      </c>
    </row>
    <row r="101" spans="1:9" s="43" customFormat="1" ht="12.75" customHeight="1">
      <c r="A101" s="134" t="s">
        <v>167</v>
      </c>
      <c r="B101" s="54"/>
      <c r="C101" s="55" t="s">
        <v>168</v>
      </c>
      <c r="D101" s="59">
        <v>0</v>
      </c>
      <c r="E101" s="104">
        <v>0</v>
      </c>
      <c r="F101" s="100">
        <v>6626.84</v>
      </c>
      <c r="G101" s="101">
        <v>0</v>
      </c>
      <c r="H101" s="128">
        <f t="shared" si="20"/>
        <v>6626.84</v>
      </c>
      <c r="I101" s="42" t="str">
        <f>IFERROR(H101/D101*100,"0")</f>
        <v>0</v>
      </c>
    </row>
    <row r="102" spans="1:9" s="43" customFormat="1" ht="25.5">
      <c r="A102" s="134" t="s">
        <v>169</v>
      </c>
      <c r="B102" s="126"/>
      <c r="C102" s="99" t="s">
        <v>170</v>
      </c>
      <c r="D102" s="59">
        <v>0</v>
      </c>
      <c r="E102" s="104">
        <v>79486.89</v>
      </c>
      <c r="F102" s="100">
        <v>38600</v>
      </c>
      <c r="G102" s="101">
        <v>0</v>
      </c>
      <c r="H102" s="128">
        <f t="shared" si="20"/>
        <v>118086.89</v>
      </c>
      <c r="I102" s="42" t="str">
        <f>IFERROR(H102/D102*100,"0")</f>
        <v>0</v>
      </c>
    </row>
    <row r="103" spans="1:9" s="43" customFormat="1" ht="18" customHeight="1">
      <c r="A103" s="37" t="s">
        <v>171</v>
      </c>
      <c r="B103" s="118"/>
      <c r="C103" s="119" t="s">
        <v>172</v>
      </c>
      <c r="D103" s="50">
        <f>D104+D117+D126+D133+D138</f>
        <v>19564613.535999998</v>
      </c>
      <c r="E103" s="120">
        <f>E104+E117+E126+E133+E138</f>
        <v>5091975.3099999996</v>
      </c>
      <c r="F103" s="120">
        <f>F104+F117+F126+F133+F138</f>
        <v>4428667.6399999997</v>
      </c>
      <c r="G103" s="120">
        <f>G104+G117+G126+G133+G138</f>
        <v>0</v>
      </c>
      <c r="H103" s="125">
        <f>H104+H117+H126+H133+H138</f>
        <v>9520642.9499999974</v>
      </c>
      <c r="I103" s="42">
        <f>H103/D103*100</f>
        <v>48.662565874258</v>
      </c>
    </row>
    <row r="104" spans="1:9" s="43" customFormat="1" ht="12.75" customHeight="1">
      <c r="A104" s="135" t="s">
        <v>173</v>
      </c>
      <c r="B104" s="136"/>
      <c r="C104" s="137" t="s">
        <v>174</v>
      </c>
      <c r="D104" s="50">
        <f>SUM(D105:D116)</f>
        <v>2760250.1359999999</v>
      </c>
      <c r="E104" s="120">
        <f>SUM(E105:E116)</f>
        <v>1451867.67</v>
      </c>
      <c r="F104" s="120">
        <f>SUM(F105:F116)</f>
        <v>245589.32</v>
      </c>
      <c r="G104" s="120">
        <f>SUM(G105:G116)</f>
        <v>0</v>
      </c>
      <c r="H104" s="125">
        <f>SUM(H105:H116)</f>
        <v>1697456.99</v>
      </c>
      <c r="I104" s="42">
        <f>H104/D104*100</f>
        <v>61.496491490436433</v>
      </c>
    </row>
    <row r="105" spans="1:9" s="43" customFormat="1" ht="12.75" customHeight="1">
      <c r="A105" s="129" t="s">
        <v>175</v>
      </c>
      <c r="B105" s="138"/>
      <c r="C105" s="139" t="s">
        <v>176</v>
      </c>
      <c r="D105" s="59">
        <v>1200000</v>
      </c>
      <c r="E105" s="104">
        <v>1311695.53</v>
      </c>
      <c r="F105" s="100">
        <v>67350</v>
      </c>
      <c r="G105" s="101">
        <v>0</v>
      </c>
      <c r="H105" s="128">
        <f>SUM(E105:G105)</f>
        <v>1379045.53</v>
      </c>
      <c r="I105" s="42">
        <f>IFERROR(H105/D105*100,"0")</f>
        <v>114.92046083333334</v>
      </c>
    </row>
    <row r="106" spans="1:9" s="43" customFormat="1" ht="12.75" customHeight="1">
      <c r="A106" s="123" t="s">
        <v>177</v>
      </c>
      <c r="B106" s="140"/>
      <c r="C106" s="141" t="s">
        <v>178</v>
      </c>
      <c r="D106" s="59">
        <v>557127.13600000006</v>
      </c>
      <c r="E106" s="104">
        <v>91077.72</v>
      </c>
      <c r="F106" s="100">
        <v>94190.87</v>
      </c>
      <c r="G106" s="101">
        <v>0</v>
      </c>
      <c r="H106" s="128">
        <f>SUM(E106:G106)</f>
        <v>185268.59</v>
      </c>
      <c r="I106" s="42">
        <f>IFERROR(H106/D106*100,"0")</f>
        <v>33.254275017040271</v>
      </c>
    </row>
    <row r="107" spans="1:9" s="43" customFormat="1" ht="12.75" customHeight="1">
      <c r="A107" s="123" t="s">
        <v>179</v>
      </c>
      <c r="B107" s="140"/>
      <c r="C107" s="141" t="s">
        <v>180</v>
      </c>
      <c r="D107" s="59">
        <v>33000</v>
      </c>
      <c r="E107" s="104">
        <v>5526.85</v>
      </c>
      <c r="F107" s="100">
        <v>5540.5400000000009</v>
      </c>
      <c r="G107" s="101">
        <v>0</v>
      </c>
      <c r="H107" s="128">
        <f>SUM(E107:G107)</f>
        <v>11067.390000000001</v>
      </c>
      <c r="I107" s="42">
        <f>IFERROR(H107/D107*100,"0")</f>
        <v>33.537545454545459</v>
      </c>
    </row>
    <row r="108" spans="1:9" s="43" customFormat="1" ht="12.75" customHeight="1">
      <c r="A108" s="123" t="s">
        <v>181</v>
      </c>
      <c r="B108" s="140"/>
      <c r="C108" s="141" t="s">
        <v>182</v>
      </c>
      <c r="D108" s="59">
        <v>0</v>
      </c>
      <c r="E108" s="104">
        <v>0</v>
      </c>
      <c r="F108" s="100">
        <v>0</v>
      </c>
      <c r="G108" s="101">
        <v>0</v>
      </c>
      <c r="H108" s="128">
        <f t="shared" ref="H108:H116" si="21">SUM(E108:G108)</f>
        <v>0</v>
      </c>
      <c r="I108" s="42" t="str">
        <f>IFERROR(H108/D108*100,"0")</f>
        <v>0</v>
      </c>
    </row>
    <row r="109" spans="1:9" s="43" customFormat="1" ht="12.75" customHeight="1">
      <c r="A109" s="123" t="s">
        <v>183</v>
      </c>
      <c r="B109" s="140"/>
      <c r="C109" s="141" t="s">
        <v>184</v>
      </c>
      <c r="D109" s="59">
        <v>653856</v>
      </c>
      <c r="E109" s="104">
        <v>0</v>
      </c>
      <c r="F109" s="100">
        <v>0</v>
      </c>
      <c r="G109" s="101">
        <v>0</v>
      </c>
      <c r="H109" s="128">
        <f t="shared" si="21"/>
        <v>0</v>
      </c>
      <c r="I109" s="42">
        <f>IFERROR(H109/D109*100,"0")</f>
        <v>0</v>
      </c>
    </row>
    <row r="110" spans="1:9" s="43" customFormat="1" ht="12.75" customHeight="1">
      <c r="A110" s="123" t="s">
        <v>185</v>
      </c>
      <c r="B110" s="140"/>
      <c r="C110" s="141" t="s">
        <v>186</v>
      </c>
      <c r="D110" s="59">
        <v>0</v>
      </c>
      <c r="E110" s="104">
        <v>0</v>
      </c>
      <c r="F110" s="100">
        <v>0</v>
      </c>
      <c r="G110" s="101">
        <v>0</v>
      </c>
      <c r="H110" s="128">
        <f t="shared" si="21"/>
        <v>0</v>
      </c>
      <c r="I110" s="42" t="str">
        <f t="shared" ref="I110:I115" si="22">IFERROR(H110/D110*100,"0")</f>
        <v>0</v>
      </c>
    </row>
    <row r="111" spans="1:9" s="43" customFormat="1" ht="12.75" customHeight="1">
      <c r="A111" s="129" t="s">
        <v>187</v>
      </c>
      <c r="B111" s="138"/>
      <c r="C111" s="139" t="s">
        <v>188</v>
      </c>
      <c r="D111" s="59">
        <v>70905</v>
      </c>
      <c r="E111" s="104">
        <v>0</v>
      </c>
      <c r="F111" s="100">
        <v>0</v>
      </c>
      <c r="G111" s="101">
        <v>0</v>
      </c>
      <c r="H111" s="128">
        <f t="shared" si="21"/>
        <v>0</v>
      </c>
      <c r="I111" s="42">
        <f t="shared" si="22"/>
        <v>0</v>
      </c>
    </row>
    <row r="112" spans="1:9" s="43" customFormat="1" ht="12.75" customHeight="1">
      <c r="A112" s="129" t="s">
        <v>189</v>
      </c>
      <c r="B112" s="138"/>
      <c r="C112" s="139" t="s">
        <v>190</v>
      </c>
      <c r="D112" s="59">
        <v>80000</v>
      </c>
      <c r="E112" s="104">
        <v>5986.18</v>
      </c>
      <c r="F112" s="100">
        <v>26000</v>
      </c>
      <c r="G112" s="101">
        <v>0</v>
      </c>
      <c r="H112" s="128">
        <f t="shared" si="21"/>
        <v>31986.18</v>
      </c>
      <c r="I112" s="42">
        <f t="shared" si="22"/>
        <v>39.982725000000002</v>
      </c>
    </row>
    <row r="113" spans="1:9" s="43" customFormat="1" ht="12.75" customHeight="1">
      <c r="A113" s="123" t="s">
        <v>191</v>
      </c>
      <c r="B113" s="140"/>
      <c r="C113" s="141" t="s">
        <v>192</v>
      </c>
      <c r="D113" s="59">
        <v>0</v>
      </c>
      <c r="E113" s="104">
        <v>0</v>
      </c>
      <c r="F113" s="100">
        <v>0</v>
      </c>
      <c r="G113" s="101">
        <v>0</v>
      </c>
      <c r="H113" s="128">
        <f t="shared" si="21"/>
        <v>0</v>
      </c>
      <c r="I113" s="42" t="str">
        <f t="shared" si="22"/>
        <v>0</v>
      </c>
    </row>
    <row r="114" spans="1:9" s="43" customFormat="1" ht="12.75" customHeight="1">
      <c r="A114" s="123" t="s">
        <v>193</v>
      </c>
      <c r="B114" s="140"/>
      <c r="C114" s="141" t="s">
        <v>194</v>
      </c>
      <c r="D114" s="59">
        <v>0</v>
      </c>
      <c r="E114" s="104">
        <v>0</v>
      </c>
      <c r="F114" s="100">
        <v>0</v>
      </c>
      <c r="G114" s="101">
        <v>0</v>
      </c>
      <c r="H114" s="128">
        <f t="shared" si="21"/>
        <v>0</v>
      </c>
      <c r="I114" s="42" t="str">
        <f t="shared" si="22"/>
        <v>0</v>
      </c>
    </row>
    <row r="115" spans="1:9" s="43" customFormat="1" ht="12.75" customHeight="1">
      <c r="A115" s="123" t="s">
        <v>195</v>
      </c>
      <c r="B115" s="140"/>
      <c r="C115" s="141" t="s">
        <v>196</v>
      </c>
      <c r="D115" s="59">
        <v>0</v>
      </c>
      <c r="E115" s="104">
        <v>0</v>
      </c>
      <c r="F115" s="100">
        <v>0</v>
      </c>
      <c r="G115" s="101">
        <v>0</v>
      </c>
      <c r="H115" s="128">
        <f t="shared" si="21"/>
        <v>0</v>
      </c>
      <c r="I115" s="42" t="str">
        <f t="shared" si="22"/>
        <v>0</v>
      </c>
    </row>
    <row r="116" spans="1:9" s="130" customFormat="1" ht="12.75" customHeight="1">
      <c r="A116" s="129" t="s">
        <v>197</v>
      </c>
      <c r="B116" s="138"/>
      <c r="C116" s="139" t="s">
        <v>198</v>
      </c>
      <c r="D116" s="59">
        <v>165362</v>
      </c>
      <c r="E116" s="104">
        <v>37581.39</v>
      </c>
      <c r="F116" s="100">
        <v>52507.91</v>
      </c>
      <c r="G116" s="101">
        <v>0</v>
      </c>
      <c r="H116" s="128">
        <f t="shared" si="21"/>
        <v>90089.3</v>
      </c>
      <c r="I116" s="42">
        <f t="shared" ref="I116" si="23">H116/D116*100</f>
        <v>54.480049830069788</v>
      </c>
    </row>
    <row r="117" spans="1:9" s="43" customFormat="1" ht="12.75" customHeight="1">
      <c r="A117" s="135" t="s">
        <v>199</v>
      </c>
      <c r="B117" s="136"/>
      <c r="C117" s="137" t="s">
        <v>200</v>
      </c>
      <c r="D117" s="50">
        <f>SUM(D118:D125)</f>
        <v>15806400</v>
      </c>
      <c r="E117" s="121">
        <f>SUM(E118:E125)</f>
        <v>3505533.9099999997</v>
      </c>
      <c r="F117" s="121">
        <f>SUM(F118:F125)</f>
        <v>3837450.51</v>
      </c>
      <c r="G117" s="121">
        <f>SUM(G118:G125)</f>
        <v>0</v>
      </c>
      <c r="H117" s="125">
        <f>SUM(H118:H125)</f>
        <v>7342984.419999999</v>
      </c>
      <c r="I117" s="42">
        <f>H117/D117*100</f>
        <v>46.45576741066909</v>
      </c>
    </row>
    <row r="118" spans="1:9" s="43" customFormat="1" ht="12.75" customHeight="1">
      <c r="A118" s="142" t="s">
        <v>201</v>
      </c>
      <c r="B118" s="143"/>
      <c r="C118" s="139" t="s">
        <v>202</v>
      </c>
      <c r="D118" s="59">
        <v>264400</v>
      </c>
      <c r="E118" s="104">
        <v>9430.68</v>
      </c>
      <c r="F118" s="100">
        <v>0</v>
      </c>
      <c r="G118" s="101">
        <v>0</v>
      </c>
      <c r="H118" s="128">
        <f>SUM(E118:G118)</f>
        <v>9430.68</v>
      </c>
      <c r="I118" s="42">
        <f>IFERROR(H118/D118*100,"0")</f>
        <v>3.5668229954614223</v>
      </c>
    </row>
    <row r="119" spans="1:9" s="43" customFormat="1" ht="12.75" customHeight="1">
      <c r="A119" s="142" t="s">
        <v>203</v>
      </c>
      <c r="B119" s="143"/>
      <c r="C119" s="139" t="s">
        <v>204</v>
      </c>
      <c r="D119" s="59"/>
      <c r="E119" s="104">
        <v>0</v>
      </c>
      <c r="F119" s="100">
        <v>0</v>
      </c>
      <c r="G119" s="101">
        <v>0</v>
      </c>
      <c r="H119" s="128">
        <f>SUM(E119:G119)</f>
        <v>0</v>
      </c>
      <c r="I119" s="42" t="str">
        <f>IFERROR(H119/D119*100,"0")</f>
        <v>0</v>
      </c>
    </row>
    <row r="120" spans="1:9" s="43" customFormat="1">
      <c r="A120" s="142" t="s">
        <v>205</v>
      </c>
      <c r="B120" s="144"/>
      <c r="C120" s="139" t="s">
        <v>206</v>
      </c>
      <c r="D120" s="59">
        <v>14760000</v>
      </c>
      <c r="E120" s="104">
        <v>3480103.2299999995</v>
      </c>
      <c r="F120" s="100">
        <v>3780350.48</v>
      </c>
      <c r="G120" s="101">
        <v>0</v>
      </c>
      <c r="H120" s="128">
        <f>SUM(E120:G120)</f>
        <v>7260453.709999999</v>
      </c>
      <c r="I120" s="42">
        <f>IFERROR(H120/D120*100,"0")</f>
        <v>49.190065785907855</v>
      </c>
    </row>
    <row r="121" spans="1:9" s="43" customFormat="1" ht="12.75" customHeight="1">
      <c r="A121" s="142" t="s">
        <v>207</v>
      </c>
      <c r="B121" s="143"/>
      <c r="C121" s="139" t="s">
        <v>208</v>
      </c>
      <c r="D121" s="59">
        <v>0</v>
      </c>
      <c r="E121" s="104">
        <v>0</v>
      </c>
      <c r="F121" s="100">
        <v>0</v>
      </c>
      <c r="G121" s="101">
        <v>0</v>
      </c>
      <c r="H121" s="128">
        <f>SUM(E121:G121)</f>
        <v>0</v>
      </c>
      <c r="I121" s="42" t="str">
        <f>IFERROR(H121/D121*100,"0")</f>
        <v>0</v>
      </c>
    </row>
    <row r="122" spans="1:9" s="43" customFormat="1" ht="12.75" customHeight="1">
      <c r="A122" s="142" t="s">
        <v>209</v>
      </c>
      <c r="B122" s="143"/>
      <c r="C122" s="139" t="s">
        <v>210</v>
      </c>
      <c r="D122" s="59">
        <v>0</v>
      </c>
      <c r="E122" s="104">
        <v>0</v>
      </c>
      <c r="F122" s="100">
        <v>0</v>
      </c>
      <c r="G122" s="101">
        <v>0</v>
      </c>
      <c r="H122" s="128">
        <f t="shared" ref="H122:H125" si="24">SUM(E122:G122)</f>
        <v>0</v>
      </c>
      <c r="I122" s="42" t="str">
        <f t="shared" ref="I122:I125" si="25">IFERROR(H122/D122*100,"0")</f>
        <v>0</v>
      </c>
    </row>
    <row r="123" spans="1:9" s="43" customFormat="1" ht="12.75" customHeight="1">
      <c r="A123" s="142" t="s">
        <v>211</v>
      </c>
      <c r="B123" s="143"/>
      <c r="C123" s="139" t="s">
        <v>212</v>
      </c>
      <c r="D123" s="59">
        <v>532000</v>
      </c>
      <c r="E123" s="104">
        <v>16000</v>
      </c>
      <c r="F123" s="100">
        <v>16100</v>
      </c>
      <c r="G123" s="101">
        <v>0</v>
      </c>
      <c r="H123" s="128">
        <f t="shared" si="24"/>
        <v>32100</v>
      </c>
      <c r="I123" s="42">
        <f t="shared" si="25"/>
        <v>6.033834586466166</v>
      </c>
    </row>
    <row r="124" spans="1:9" s="43" customFormat="1" ht="51">
      <c r="A124" s="142" t="s">
        <v>213</v>
      </c>
      <c r="B124" s="143"/>
      <c r="C124" s="139" t="s">
        <v>214</v>
      </c>
      <c r="D124" s="59">
        <v>0</v>
      </c>
      <c r="E124" s="104">
        <v>0</v>
      </c>
      <c r="F124" s="100">
        <v>0</v>
      </c>
      <c r="G124" s="101">
        <v>0</v>
      </c>
      <c r="H124" s="128">
        <f t="shared" si="24"/>
        <v>0</v>
      </c>
      <c r="I124" s="42" t="str">
        <f t="shared" si="25"/>
        <v>0</v>
      </c>
    </row>
    <row r="125" spans="1:9" s="43" customFormat="1" ht="12.75" customHeight="1">
      <c r="A125" s="142" t="s">
        <v>215</v>
      </c>
      <c r="B125" s="143"/>
      <c r="C125" s="139" t="s">
        <v>216</v>
      </c>
      <c r="D125" s="59">
        <v>250000</v>
      </c>
      <c r="E125" s="104">
        <v>0</v>
      </c>
      <c r="F125" s="100">
        <v>41000.03</v>
      </c>
      <c r="G125" s="101">
        <v>0</v>
      </c>
      <c r="H125" s="128">
        <f t="shared" si="24"/>
        <v>41000.03</v>
      </c>
      <c r="I125" s="42">
        <f t="shared" si="25"/>
        <v>16.400012</v>
      </c>
    </row>
    <row r="126" spans="1:9" s="43" customFormat="1" ht="12.75" customHeight="1">
      <c r="A126" s="135" t="s">
        <v>217</v>
      </c>
      <c r="B126" s="136"/>
      <c r="C126" s="137" t="s">
        <v>218</v>
      </c>
      <c r="D126" s="50">
        <f>SUM(D127:D132)</f>
        <v>852963.4</v>
      </c>
      <c r="E126" s="121">
        <f>SUM(E127:E136)</f>
        <v>94219.46</v>
      </c>
      <c r="F126" s="121">
        <f>SUM(F127:F136)</f>
        <v>282648.40999999997</v>
      </c>
      <c r="G126" s="121">
        <f>SUM(G127:G130)</f>
        <v>0</v>
      </c>
      <c r="H126" s="125">
        <f>SUM(H127:H130)</f>
        <v>376867.87</v>
      </c>
      <c r="I126" s="42">
        <f>H126/D126*100</f>
        <v>44.183357691549247</v>
      </c>
    </row>
    <row r="127" spans="1:9" s="43" customFormat="1" ht="12.75" customHeight="1">
      <c r="A127" s="145" t="s">
        <v>219</v>
      </c>
      <c r="B127" s="146"/>
      <c r="C127" s="141" t="s">
        <v>220</v>
      </c>
      <c r="D127" s="59">
        <v>733610.6</v>
      </c>
      <c r="E127" s="104">
        <v>89378.150000000009</v>
      </c>
      <c r="F127" s="100">
        <v>269219.5</v>
      </c>
      <c r="G127" s="101">
        <v>0</v>
      </c>
      <c r="H127" s="128">
        <f t="shared" ref="H127:H132" si="26">SUM(E127:G127)</f>
        <v>358597.65</v>
      </c>
      <c r="I127" s="42">
        <f>IFERROR(H127/D127*100,"0")</f>
        <v>48.881198008861929</v>
      </c>
    </row>
    <row r="128" spans="1:9" s="43" customFormat="1">
      <c r="A128" s="145" t="s">
        <v>221</v>
      </c>
      <c r="B128" s="146"/>
      <c r="C128" s="141" t="s">
        <v>222</v>
      </c>
      <c r="D128" s="59">
        <v>0</v>
      </c>
      <c r="E128" s="104">
        <v>0</v>
      </c>
      <c r="F128" s="100">
        <v>0</v>
      </c>
      <c r="G128" s="101">
        <v>0</v>
      </c>
      <c r="H128" s="128">
        <f t="shared" si="26"/>
        <v>0</v>
      </c>
      <c r="I128" s="42" t="str">
        <f>IFERROR(H128/D128*100,"0")</f>
        <v>0</v>
      </c>
    </row>
    <row r="129" spans="1:9" s="43" customFormat="1" ht="12.75" customHeight="1">
      <c r="A129" s="145" t="s">
        <v>223</v>
      </c>
      <c r="B129" s="146"/>
      <c r="C129" s="141" t="s">
        <v>224</v>
      </c>
      <c r="D129" s="59">
        <v>0</v>
      </c>
      <c r="E129" s="104">
        <v>0</v>
      </c>
      <c r="F129" s="100">
        <v>0</v>
      </c>
      <c r="G129" s="101">
        <v>0</v>
      </c>
      <c r="H129" s="128">
        <f t="shared" si="26"/>
        <v>0</v>
      </c>
      <c r="I129" s="42" t="str">
        <f>IFERROR(H129/D129*100,"0")</f>
        <v>0</v>
      </c>
    </row>
    <row r="130" spans="1:9" s="43" customFormat="1" ht="12.75" customHeight="1">
      <c r="A130" s="145" t="s">
        <v>225</v>
      </c>
      <c r="B130" s="146"/>
      <c r="C130" s="139" t="s">
        <v>226</v>
      </c>
      <c r="D130" s="59">
        <v>119352.8</v>
      </c>
      <c r="E130" s="104">
        <v>4841.3100000000004</v>
      </c>
      <c r="F130" s="100">
        <v>13428.91</v>
      </c>
      <c r="G130" s="101">
        <v>0</v>
      </c>
      <c r="H130" s="128">
        <f t="shared" si="26"/>
        <v>18270.22</v>
      </c>
      <c r="I130" s="42">
        <f>IFERROR(H130/D130*100,"0")</f>
        <v>15.307743094422586</v>
      </c>
    </row>
    <row r="131" spans="1:9" s="43" customFormat="1" ht="12.75" customHeight="1">
      <c r="A131" s="145" t="s">
        <v>227</v>
      </c>
      <c r="B131" s="146"/>
      <c r="C131" s="139" t="s">
        <v>228</v>
      </c>
      <c r="D131" s="59">
        <v>0</v>
      </c>
      <c r="E131" s="104">
        <v>0</v>
      </c>
      <c r="F131" s="100">
        <v>0</v>
      </c>
      <c r="G131" s="101">
        <v>0</v>
      </c>
      <c r="H131" s="128">
        <f t="shared" si="26"/>
        <v>0</v>
      </c>
      <c r="I131" s="42"/>
    </row>
    <row r="132" spans="1:9" s="43" customFormat="1" ht="12.75" customHeight="1">
      <c r="A132" s="145" t="s">
        <v>229</v>
      </c>
      <c r="B132" s="146"/>
      <c r="C132" s="139" t="s">
        <v>230</v>
      </c>
      <c r="D132" s="59">
        <v>0</v>
      </c>
      <c r="E132" s="104">
        <v>0</v>
      </c>
      <c r="F132" s="100">
        <v>0</v>
      </c>
      <c r="G132" s="101">
        <v>0</v>
      </c>
      <c r="H132" s="128">
        <f t="shared" si="26"/>
        <v>0</v>
      </c>
      <c r="I132" s="42"/>
    </row>
    <row r="133" spans="1:9" s="43" customFormat="1" ht="12.75" customHeight="1">
      <c r="A133" s="135" t="s">
        <v>231</v>
      </c>
      <c r="B133" s="136"/>
      <c r="C133" s="137" t="s">
        <v>232</v>
      </c>
      <c r="D133" s="50">
        <f>D134</f>
        <v>20000</v>
      </c>
      <c r="E133" s="133">
        <f t="shared" ref="E133:G133" si="27">E134</f>
        <v>0</v>
      </c>
      <c r="F133" s="121">
        <f t="shared" si="27"/>
        <v>0</v>
      </c>
      <c r="G133" s="121">
        <f t="shared" si="27"/>
        <v>0</v>
      </c>
      <c r="H133" s="125">
        <f>H134</f>
        <v>0</v>
      </c>
      <c r="I133" s="42">
        <f>IFERROR(H133/D133*100,"0")</f>
        <v>0</v>
      </c>
    </row>
    <row r="134" spans="1:9" s="43" customFormat="1">
      <c r="A134" s="145" t="s">
        <v>233</v>
      </c>
      <c r="B134" s="146"/>
      <c r="C134" s="141" t="s">
        <v>234</v>
      </c>
      <c r="D134" s="59">
        <v>20000</v>
      </c>
      <c r="E134" s="104">
        <v>0</v>
      </c>
      <c r="F134" s="100">
        <v>0</v>
      </c>
      <c r="G134" s="101">
        <v>0</v>
      </c>
      <c r="H134" s="128">
        <f>SUM(E134:G134)</f>
        <v>0</v>
      </c>
      <c r="I134" s="42">
        <f>IFERROR(H134/D134*100,"0")</f>
        <v>0</v>
      </c>
    </row>
    <row r="135" spans="1:9" s="43" customFormat="1" ht="25.5">
      <c r="A135" s="145" t="s">
        <v>235</v>
      </c>
      <c r="B135" s="146"/>
      <c r="C135" s="141" t="s">
        <v>236</v>
      </c>
      <c r="D135" s="59">
        <v>0</v>
      </c>
      <c r="E135" s="104">
        <v>0</v>
      </c>
      <c r="F135" s="100">
        <v>0</v>
      </c>
      <c r="G135" s="101">
        <v>0</v>
      </c>
      <c r="H135" s="128">
        <f>SUM(E135:G135)</f>
        <v>0</v>
      </c>
      <c r="I135" s="42" t="str">
        <f>IFERROR(H135/D135*100,"0")</f>
        <v>0</v>
      </c>
    </row>
    <row r="136" spans="1:9" s="43" customFormat="1">
      <c r="A136" s="145" t="s">
        <v>237</v>
      </c>
      <c r="B136" s="146"/>
      <c r="C136" s="141" t="s">
        <v>238</v>
      </c>
      <c r="D136" s="59">
        <v>0</v>
      </c>
      <c r="E136" s="104">
        <v>0</v>
      </c>
      <c r="F136" s="100">
        <v>0</v>
      </c>
      <c r="G136" s="101">
        <v>0</v>
      </c>
      <c r="H136" s="128">
        <f>SUM(E136:G136)</f>
        <v>0</v>
      </c>
      <c r="I136" s="42" t="str">
        <f>IFERROR(H136/D136*100,"0")</f>
        <v>0</v>
      </c>
    </row>
    <row r="137" spans="1:9" s="43" customFormat="1" ht="38.25">
      <c r="A137" s="145" t="s">
        <v>239</v>
      </c>
      <c r="B137" s="146"/>
      <c r="C137" s="141" t="s">
        <v>240</v>
      </c>
      <c r="D137" s="59">
        <v>0</v>
      </c>
      <c r="E137" s="104">
        <v>0</v>
      </c>
      <c r="F137" s="100">
        <v>0</v>
      </c>
      <c r="G137" s="101">
        <v>0</v>
      </c>
      <c r="H137" s="128">
        <f>SUM(E137:G137)</f>
        <v>0</v>
      </c>
      <c r="I137" s="42" t="str">
        <f>IFERROR(H137/D137*100,"0")</f>
        <v>0</v>
      </c>
    </row>
    <row r="138" spans="1:9" s="43" customFormat="1">
      <c r="A138" s="135" t="s">
        <v>241</v>
      </c>
      <c r="B138" s="136"/>
      <c r="C138" s="137" t="s">
        <v>242</v>
      </c>
      <c r="D138" s="50">
        <f>SUM(D139:D145)</f>
        <v>125000</v>
      </c>
      <c r="E138" s="120">
        <f t="shared" ref="E138:H138" si="28">SUM(E139:E145)</f>
        <v>40354.269999999997</v>
      </c>
      <c r="F138" s="121">
        <f>SUM(F139:F145)</f>
        <v>62979.4</v>
      </c>
      <c r="G138" s="122">
        <f t="shared" si="28"/>
        <v>0</v>
      </c>
      <c r="H138" s="120">
        <f t="shared" si="28"/>
        <v>103333.67</v>
      </c>
      <c r="I138" s="117">
        <f t="shared" ref="I138:I145" si="29">IFERROR(H138/D138*100,"0")</f>
        <v>82.666936000000007</v>
      </c>
    </row>
    <row r="139" spans="1:9" s="43" customFormat="1">
      <c r="A139" s="145" t="s">
        <v>243</v>
      </c>
      <c r="B139" s="146"/>
      <c r="C139" s="141" t="s">
        <v>244</v>
      </c>
      <c r="D139" s="59">
        <v>100000</v>
      </c>
      <c r="E139" s="104">
        <v>40354.269999999997</v>
      </c>
      <c r="F139" s="100">
        <v>60531.4</v>
      </c>
      <c r="G139" s="101">
        <v>0</v>
      </c>
      <c r="H139" s="128">
        <f t="shared" ref="H139:H145" si="30">SUM(E139:G139)</f>
        <v>100885.67</v>
      </c>
      <c r="I139" s="42">
        <f t="shared" si="29"/>
        <v>100.88566999999999</v>
      </c>
    </row>
    <row r="140" spans="1:9" s="43" customFormat="1">
      <c r="A140" s="145" t="s">
        <v>245</v>
      </c>
      <c r="B140" s="146"/>
      <c r="C140" s="141" t="s">
        <v>246</v>
      </c>
      <c r="D140" s="59">
        <v>0</v>
      </c>
      <c r="E140" s="104">
        <v>0</v>
      </c>
      <c r="F140" s="100">
        <v>0</v>
      </c>
      <c r="G140" s="101">
        <v>0</v>
      </c>
      <c r="H140" s="128">
        <f t="shared" si="30"/>
        <v>0</v>
      </c>
      <c r="I140" s="42" t="str">
        <f t="shared" si="29"/>
        <v>0</v>
      </c>
    </row>
    <row r="141" spans="1:9" s="130" customFormat="1">
      <c r="A141" s="142" t="s">
        <v>247</v>
      </c>
      <c r="B141" s="147"/>
      <c r="C141" s="139" t="s">
        <v>248</v>
      </c>
      <c r="D141" s="59">
        <v>15000</v>
      </c>
      <c r="E141" s="104">
        <v>0</v>
      </c>
      <c r="F141" s="100">
        <v>2448</v>
      </c>
      <c r="G141" s="101">
        <v>0</v>
      </c>
      <c r="H141" s="128">
        <f t="shared" si="30"/>
        <v>2448</v>
      </c>
      <c r="I141" s="42">
        <f t="shared" si="29"/>
        <v>16.32</v>
      </c>
    </row>
    <row r="142" spans="1:9" s="43" customFormat="1">
      <c r="A142" s="145" t="s">
        <v>249</v>
      </c>
      <c r="B142" s="146"/>
      <c r="C142" s="141" t="s">
        <v>250</v>
      </c>
      <c r="D142" s="59">
        <v>10000</v>
      </c>
      <c r="E142" s="104">
        <v>0</v>
      </c>
      <c r="F142" s="100">
        <v>0</v>
      </c>
      <c r="G142" s="101">
        <v>0</v>
      </c>
      <c r="H142" s="128">
        <f t="shared" si="30"/>
        <v>0</v>
      </c>
      <c r="I142" s="42">
        <f t="shared" si="29"/>
        <v>0</v>
      </c>
    </row>
    <row r="143" spans="1:9" s="43" customFormat="1">
      <c r="A143" s="145" t="s">
        <v>251</v>
      </c>
      <c r="B143" s="146"/>
      <c r="C143" s="141" t="s">
        <v>252</v>
      </c>
      <c r="D143" s="59">
        <v>0</v>
      </c>
      <c r="E143" s="104">
        <v>0</v>
      </c>
      <c r="F143" s="100">
        <v>0</v>
      </c>
      <c r="G143" s="101">
        <v>0</v>
      </c>
      <c r="H143" s="128">
        <f t="shared" si="30"/>
        <v>0</v>
      </c>
      <c r="I143" s="42" t="str">
        <f t="shared" si="29"/>
        <v>0</v>
      </c>
    </row>
    <row r="144" spans="1:9" s="43" customFormat="1">
      <c r="A144" s="145" t="s">
        <v>253</v>
      </c>
      <c r="B144" s="146"/>
      <c r="C144" s="141" t="s">
        <v>254</v>
      </c>
      <c r="D144" s="59">
        <v>0</v>
      </c>
      <c r="E144" s="104">
        <v>0</v>
      </c>
      <c r="F144" s="100">
        <v>0</v>
      </c>
      <c r="G144" s="101">
        <v>0</v>
      </c>
      <c r="H144" s="128">
        <f t="shared" si="30"/>
        <v>0</v>
      </c>
      <c r="I144" s="42" t="str">
        <f t="shared" si="29"/>
        <v>0</v>
      </c>
    </row>
    <row r="145" spans="1:9" s="43" customFormat="1">
      <c r="A145" s="145" t="s">
        <v>255</v>
      </c>
      <c r="B145" s="146"/>
      <c r="C145" s="141" t="s">
        <v>256</v>
      </c>
      <c r="D145" s="59">
        <v>0</v>
      </c>
      <c r="E145" s="104">
        <v>0</v>
      </c>
      <c r="F145" s="100">
        <v>0</v>
      </c>
      <c r="G145" s="101">
        <v>0</v>
      </c>
      <c r="H145" s="128">
        <f t="shared" si="30"/>
        <v>0</v>
      </c>
      <c r="I145" s="42" t="str">
        <f t="shared" si="29"/>
        <v>0</v>
      </c>
    </row>
    <row r="146" spans="1:9" s="43" customFormat="1" hidden="1">
      <c r="A146" s="148" t="s">
        <v>257</v>
      </c>
      <c r="B146" s="146"/>
      <c r="C146" s="141"/>
      <c r="D146" s="59"/>
      <c r="E146" s="104">
        <v>0</v>
      </c>
      <c r="F146" s="100">
        <v>0</v>
      </c>
      <c r="G146" s="101">
        <v>0</v>
      </c>
      <c r="H146" s="128"/>
      <c r="I146" s="42"/>
    </row>
    <row r="147" spans="1:9" s="43" customFormat="1" hidden="1">
      <c r="A147" s="148" t="s">
        <v>258</v>
      </c>
      <c r="B147" s="146"/>
      <c r="C147" s="141"/>
      <c r="D147" s="59"/>
      <c r="E147" s="104">
        <v>0</v>
      </c>
      <c r="F147" s="100">
        <v>0</v>
      </c>
      <c r="G147" s="101">
        <v>0</v>
      </c>
      <c r="H147" s="128"/>
      <c r="I147" s="42"/>
    </row>
    <row r="148" spans="1:9" s="43" customFormat="1" ht="12.75" customHeight="1">
      <c r="A148" s="37" t="s">
        <v>259</v>
      </c>
      <c r="B148" s="118"/>
      <c r="C148" s="119" t="s">
        <v>260</v>
      </c>
      <c r="D148" s="149">
        <f>SUM(D149:D153)</f>
        <v>1148845</v>
      </c>
      <c r="E148" s="120">
        <f>SUM(E149:E153)</f>
        <v>138526</v>
      </c>
      <c r="F148" s="120">
        <f>SUM(F149:F153)</f>
        <v>159563.29000000004</v>
      </c>
      <c r="G148" s="120">
        <f>SUM(G149:G153)</f>
        <v>0</v>
      </c>
      <c r="H148" s="125">
        <f>SUM(H149:H153)</f>
        <v>298089.29000000004</v>
      </c>
      <c r="I148" s="42">
        <f>H148/D148*100</f>
        <v>25.946867506060439</v>
      </c>
    </row>
    <row r="149" spans="1:9" s="43" customFormat="1" ht="12.75" customHeight="1">
      <c r="A149" s="142" t="s">
        <v>261</v>
      </c>
      <c r="B149" s="147"/>
      <c r="C149" s="150" t="s">
        <v>262</v>
      </c>
      <c r="D149" s="59">
        <v>319500</v>
      </c>
      <c r="E149" s="104">
        <v>0</v>
      </c>
      <c r="F149" s="100">
        <v>0</v>
      </c>
      <c r="G149" s="101">
        <v>0</v>
      </c>
      <c r="H149" s="128">
        <f>SUM(E149:G149)</f>
        <v>0</v>
      </c>
      <c r="I149" s="42">
        <f>H149/D149*100</f>
        <v>0</v>
      </c>
    </row>
    <row r="150" spans="1:9" s="43" customFormat="1" ht="12.75" customHeight="1">
      <c r="A150" s="145" t="s">
        <v>263</v>
      </c>
      <c r="B150" s="146"/>
      <c r="C150" s="151" t="s">
        <v>264</v>
      </c>
      <c r="D150" s="59">
        <v>175000</v>
      </c>
      <c r="E150" s="104">
        <v>27007.089999999997</v>
      </c>
      <c r="F150" s="100">
        <v>78732.98000000001</v>
      </c>
      <c r="G150" s="101">
        <v>0</v>
      </c>
      <c r="H150" s="128">
        <f>SUM(E150:G150)</f>
        <v>105740.07</v>
      </c>
      <c r="I150" s="42">
        <f>IFERROR(H150/D150*100,"0")</f>
        <v>60.422897142857146</v>
      </c>
    </row>
    <row r="151" spans="1:9" s="43" customFormat="1" ht="12.75" customHeight="1">
      <c r="A151" s="145" t="s">
        <v>265</v>
      </c>
      <c r="B151" s="147"/>
      <c r="C151" s="150" t="s">
        <v>266</v>
      </c>
      <c r="D151" s="59">
        <v>100000</v>
      </c>
      <c r="E151" s="104">
        <v>1104.8</v>
      </c>
      <c r="F151" s="100">
        <v>0</v>
      </c>
      <c r="G151" s="101">
        <v>0</v>
      </c>
      <c r="H151" s="128">
        <f>SUM(E151:G151)</f>
        <v>1104.8</v>
      </c>
      <c r="I151" s="42">
        <f>IFERROR(H151/D151*100,"0")</f>
        <v>1.1047999999999998</v>
      </c>
    </row>
    <row r="152" spans="1:9" s="43" customFormat="1" ht="12.75" customHeight="1">
      <c r="A152" s="145" t="s">
        <v>267</v>
      </c>
      <c r="B152" s="147"/>
      <c r="C152" s="150" t="s">
        <v>268</v>
      </c>
      <c r="D152" s="59">
        <v>554345</v>
      </c>
      <c r="E152" s="104">
        <v>110414.11</v>
      </c>
      <c r="F152" s="100">
        <v>80563.87000000001</v>
      </c>
      <c r="G152" s="101">
        <v>0</v>
      </c>
      <c r="H152" s="128">
        <f>SUM(E152:G152)</f>
        <v>190977.98</v>
      </c>
      <c r="I152" s="42">
        <f>IFERROR(H152/D152*100,"0")</f>
        <v>34.451105358576342</v>
      </c>
    </row>
    <row r="153" spans="1:9" s="43" customFormat="1" ht="12.75" customHeight="1">
      <c r="A153" s="145" t="s">
        <v>269</v>
      </c>
      <c r="B153" s="146"/>
      <c r="C153" s="151" t="s">
        <v>270</v>
      </c>
      <c r="D153" s="59">
        <v>0</v>
      </c>
      <c r="E153" s="104">
        <v>0</v>
      </c>
      <c r="F153" s="100">
        <v>266.44</v>
      </c>
      <c r="G153" s="101">
        <v>0</v>
      </c>
      <c r="H153" s="128">
        <f>SUM(E153:G153)</f>
        <v>266.44</v>
      </c>
      <c r="I153" s="42" t="str">
        <f>IFERROR(H153/D153*100,"0")</f>
        <v>0</v>
      </c>
    </row>
    <row r="154" spans="1:9" s="43" customFormat="1" ht="2.1" customHeight="1">
      <c r="A154" s="123"/>
      <c r="B154" s="126"/>
      <c r="C154" s="152"/>
      <c r="D154" s="59"/>
      <c r="E154" s="153"/>
      <c r="F154" s="133"/>
      <c r="G154" s="133"/>
      <c r="H154" s="125"/>
      <c r="I154" s="154"/>
    </row>
    <row r="155" spans="1:9" s="43" customFormat="1" ht="27" customHeight="1">
      <c r="A155" s="37" t="s">
        <v>271</v>
      </c>
      <c r="B155" s="247" t="s">
        <v>272</v>
      </c>
      <c r="C155" s="248"/>
      <c r="D155" s="95">
        <v>0</v>
      </c>
      <c r="E155" s="155">
        <f t="shared" ref="E155" si="31">SUM(E156:E159)</f>
        <v>131970.34</v>
      </c>
      <c r="F155" s="64">
        <f>SUM(F156:F159)</f>
        <v>56006.34</v>
      </c>
      <c r="G155" s="64">
        <f>SUM(G156:G159)</f>
        <v>0</v>
      </c>
      <c r="H155" s="125">
        <f>SUM(H156:H159)</f>
        <v>187976.68</v>
      </c>
      <c r="I155" s="156" t="str">
        <f>IFERROR(H155/D155*100,"0")</f>
        <v>0</v>
      </c>
    </row>
    <row r="156" spans="1:9" ht="12.75" customHeight="1">
      <c r="A156" s="157" t="s">
        <v>273</v>
      </c>
      <c r="B156" s="158"/>
      <c r="C156" s="159" t="s">
        <v>274</v>
      </c>
      <c r="D156" s="160">
        <v>0</v>
      </c>
      <c r="E156" s="104">
        <v>122767.46999999999</v>
      </c>
      <c r="F156" s="100">
        <v>28851.66</v>
      </c>
      <c r="G156" s="101">
        <v>0</v>
      </c>
      <c r="H156" s="128">
        <f>SUM(E156:G156)</f>
        <v>151619.12999999998</v>
      </c>
      <c r="I156" s="156" t="str">
        <f>IFERROR(H156/D156*100,"0")</f>
        <v>0</v>
      </c>
    </row>
    <row r="157" spans="1:9" ht="12.75" customHeight="1">
      <c r="A157" s="157" t="s">
        <v>275</v>
      </c>
      <c r="B157" s="158"/>
      <c r="C157" s="159" t="s">
        <v>276</v>
      </c>
      <c r="D157" s="160">
        <v>0</v>
      </c>
      <c r="E157" s="104">
        <v>0</v>
      </c>
      <c r="F157" s="100">
        <v>0</v>
      </c>
      <c r="G157" s="101">
        <v>0</v>
      </c>
      <c r="H157" s="128">
        <f>SUM(E157:G157)</f>
        <v>0</v>
      </c>
      <c r="I157" s="156" t="str">
        <f>IFERROR(H157/D157*100,"0")</f>
        <v>0</v>
      </c>
    </row>
    <row r="158" spans="1:9" ht="12.75" customHeight="1">
      <c r="A158" s="157" t="s">
        <v>277</v>
      </c>
      <c r="B158" s="118"/>
      <c r="C158" s="159" t="s">
        <v>278</v>
      </c>
      <c r="D158" s="160">
        <v>0</v>
      </c>
      <c r="E158" s="104">
        <v>0</v>
      </c>
      <c r="F158" s="100">
        <v>0</v>
      </c>
      <c r="G158" s="101">
        <v>0</v>
      </c>
      <c r="H158" s="128">
        <f>SUM(E158:G158)</f>
        <v>0</v>
      </c>
      <c r="I158" s="156" t="str">
        <f>IFERROR(H158/D158*100,"0")</f>
        <v>0</v>
      </c>
    </row>
    <row r="159" spans="1:9" ht="12.75" customHeight="1">
      <c r="A159" s="157" t="s">
        <v>279</v>
      </c>
      <c r="B159" s="118"/>
      <c r="C159" s="159" t="s">
        <v>280</v>
      </c>
      <c r="D159" s="160">
        <v>0</v>
      </c>
      <c r="E159" s="104">
        <v>9202.869999999999</v>
      </c>
      <c r="F159" s="100">
        <v>27154.68</v>
      </c>
      <c r="G159" s="101">
        <v>0</v>
      </c>
      <c r="H159" s="128">
        <f>SUM(E159:G159)</f>
        <v>36357.550000000003</v>
      </c>
      <c r="I159" s="156" t="str">
        <f>IFERROR(H159/D159*100,"0")</f>
        <v>0</v>
      </c>
    </row>
    <row r="160" spans="1:9">
      <c r="A160" s="161"/>
      <c r="B160" s="119"/>
      <c r="C160" s="119"/>
      <c r="D160" s="162"/>
      <c r="E160" s="162"/>
      <c r="F160" s="163"/>
      <c r="G160" s="163"/>
      <c r="H160" s="164"/>
      <c r="I160" s="165"/>
    </row>
    <row r="161" spans="1:9" s="43" customFormat="1" ht="24.95" customHeight="1">
      <c r="A161" s="166">
        <v>7</v>
      </c>
      <c r="B161" s="249" t="s">
        <v>281</v>
      </c>
      <c r="C161" s="250"/>
      <c r="D161" s="122">
        <f>D43-D55</f>
        <v>4.1999965906143188E-3</v>
      </c>
      <c r="E161" s="133">
        <f>E43-E55</f>
        <v>0</v>
      </c>
      <c r="F161" s="121">
        <f>F43-F55</f>
        <v>0</v>
      </c>
      <c r="G161" s="122">
        <f t="shared" ref="G161" si="32">G43-G55</f>
        <v>0</v>
      </c>
      <c r="H161" s="133">
        <f>H43-H55</f>
        <v>0</v>
      </c>
      <c r="I161" s="117"/>
    </row>
    <row r="162" spans="1:9" ht="23.65" customHeight="1">
      <c r="A162" s="167"/>
      <c r="B162" s="168"/>
      <c r="C162" s="168"/>
      <c r="D162" s="169"/>
      <c r="E162" s="169"/>
      <c r="F162" s="169"/>
      <c r="G162" s="170"/>
      <c r="H162" s="170"/>
      <c r="I162" s="171"/>
    </row>
    <row r="163" spans="1:9" s="43" customFormat="1" ht="16.5" customHeight="1">
      <c r="A163" s="172" t="s">
        <v>282</v>
      </c>
      <c r="B163" s="81"/>
      <c r="C163" s="81"/>
      <c r="D163" s="83"/>
      <c r="E163" s="83"/>
      <c r="F163" s="83"/>
      <c r="G163" s="86"/>
      <c r="H163" s="86"/>
      <c r="I163" s="173"/>
    </row>
    <row r="164" spans="1:9" ht="11.25" customHeight="1">
      <c r="A164" s="167"/>
      <c r="B164" s="7"/>
      <c r="C164" s="7"/>
      <c r="D164" s="88"/>
      <c r="E164" s="88"/>
      <c r="F164" s="88"/>
    </row>
    <row r="165" spans="1:9" ht="27" customHeight="1">
      <c r="A165" s="167"/>
      <c r="B165" s="7"/>
      <c r="C165" s="7"/>
      <c r="D165" s="91" t="s">
        <v>62</v>
      </c>
      <c r="E165" s="32" t="s">
        <v>12</v>
      </c>
      <c r="F165" s="33" t="s">
        <v>13</v>
      </c>
      <c r="G165" s="32" t="s">
        <v>14</v>
      </c>
      <c r="H165" s="174" t="s">
        <v>15</v>
      </c>
      <c r="I165" s="92" t="s">
        <v>16</v>
      </c>
    </row>
    <row r="166" spans="1:9" ht="3" customHeight="1">
      <c r="A166" s="167"/>
      <c r="B166" s="7"/>
      <c r="C166" s="7"/>
      <c r="D166" s="175"/>
      <c r="E166" s="3"/>
      <c r="F166" s="89"/>
      <c r="G166" s="2"/>
      <c r="H166" s="2"/>
      <c r="I166" s="176"/>
    </row>
    <row r="167" spans="1:9">
      <c r="A167" s="37">
        <v>8</v>
      </c>
      <c r="B167" s="238" t="s">
        <v>283</v>
      </c>
      <c r="C167" s="239"/>
      <c r="D167" s="177">
        <v>0</v>
      </c>
      <c r="E167" s="178">
        <f>SUM(E168:E174)</f>
        <v>177769.06</v>
      </c>
      <c r="F167" s="178">
        <f>SUM(F168:F173)</f>
        <v>255840.65</v>
      </c>
      <c r="G167" s="178">
        <f>SUM(G169:G174)</f>
        <v>0</v>
      </c>
      <c r="H167" s="179">
        <f>SUM(E167:G167)</f>
        <v>433609.70999999996</v>
      </c>
      <c r="I167" s="180"/>
    </row>
    <row r="168" spans="1:9" ht="12.75" customHeight="1">
      <c r="A168" s="181" t="s">
        <v>284</v>
      </c>
      <c r="B168" s="18"/>
      <c r="C168" s="182" t="s">
        <v>285</v>
      </c>
      <c r="D168" s="160">
        <v>0</v>
      </c>
      <c r="E168" s="153">
        <v>0</v>
      </c>
      <c r="F168" s="100">
        <v>5620</v>
      </c>
      <c r="G168" s="100"/>
      <c r="H168" s="183">
        <f t="shared" ref="H168:H174" si="33">SUM(E168:G168)</f>
        <v>5620</v>
      </c>
      <c r="I168" s="180"/>
    </row>
    <row r="169" spans="1:9" ht="12.75" customHeight="1">
      <c r="A169" s="181" t="s">
        <v>286</v>
      </c>
      <c r="B169" s="18"/>
      <c r="C169" s="182" t="s">
        <v>287</v>
      </c>
      <c r="D169" s="160">
        <v>0</v>
      </c>
      <c r="E169" s="153">
        <v>9936.7800000000007</v>
      </c>
      <c r="F169" s="184">
        <f>3171.99+2798.9+2648.3</f>
        <v>8619.1899999999987</v>
      </c>
      <c r="G169" s="100"/>
      <c r="H169" s="183">
        <f t="shared" si="33"/>
        <v>18555.97</v>
      </c>
      <c r="I169" s="180"/>
    </row>
    <row r="170" spans="1:9" ht="12.75" customHeight="1">
      <c r="A170" s="181" t="s">
        <v>288</v>
      </c>
      <c r="B170" s="185"/>
      <c r="C170" s="186" t="s">
        <v>289</v>
      </c>
      <c r="D170" s="160">
        <v>0</v>
      </c>
      <c r="E170" s="153">
        <v>10553.88</v>
      </c>
      <c r="F170" s="184">
        <f>7854.39+2832</f>
        <v>10686.39</v>
      </c>
      <c r="G170" s="100">
        <v>0</v>
      </c>
      <c r="H170" s="183">
        <f t="shared" si="33"/>
        <v>21240.269999999997</v>
      </c>
      <c r="I170" s="187"/>
    </row>
    <row r="171" spans="1:9" ht="12.75" customHeight="1">
      <c r="A171" s="181" t="s">
        <v>290</v>
      </c>
      <c r="B171" s="18"/>
      <c r="C171" s="182" t="s">
        <v>291</v>
      </c>
      <c r="D171" s="160">
        <v>0</v>
      </c>
      <c r="E171" s="153">
        <v>0</v>
      </c>
      <c r="F171" s="184">
        <v>0</v>
      </c>
      <c r="G171" s="100"/>
      <c r="H171" s="183">
        <f t="shared" si="33"/>
        <v>0</v>
      </c>
      <c r="I171" s="187"/>
    </row>
    <row r="172" spans="1:9" ht="12.75" customHeight="1">
      <c r="A172" s="181" t="s">
        <v>292</v>
      </c>
      <c r="B172" s="18"/>
      <c r="C172" s="182" t="s">
        <v>293</v>
      </c>
      <c r="D172" s="160">
        <v>0</v>
      </c>
      <c r="E172" s="153">
        <v>0</v>
      </c>
      <c r="F172" s="184">
        <v>0</v>
      </c>
      <c r="G172" s="188"/>
      <c r="H172" s="183">
        <f t="shared" si="33"/>
        <v>0</v>
      </c>
      <c r="I172" s="187"/>
    </row>
    <row r="173" spans="1:9" ht="12.75" customHeight="1">
      <c r="A173" s="181" t="s">
        <v>294</v>
      </c>
      <c r="B173" s="18"/>
      <c r="C173" s="182" t="s">
        <v>295</v>
      </c>
      <c r="D173" s="160">
        <v>0</v>
      </c>
      <c r="E173" s="153">
        <v>157278.39999999999</v>
      </c>
      <c r="F173" s="184">
        <v>230915.07</v>
      </c>
      <c r="G173" s="100"/>
      <c r="H173" s="183">
        <f t="shared" si="33"/>
        <v>388193.47</v>
      </c>
      <c r="I173" s="187"/>
    </row>
    <row r="174" spans="1:9" ht="12.75" customHeight="1">
      <c r="A174" s="181" t="s">
        <v>296</v>
      </c>
      <c r="B174" s="18"/>
      <c r="C174" s="182" t="s">
        <v>297</v>
      </c>
      <c r="D174" s="160">
        <v>0</v>
      </c>
      <c r="E174" s="153">
        <v>0</v>
      </c>
      <c r="F174" s="100">
        <v>0</v>
      </c>
      <c r="G174" s="100">
        <v>0</v>
      </c>
      <c r="H174" s="183">
        <f t="shared" si="33"/>
        <v>0</v>
      </c>
      <c r="I174" s="187"/>
    </row>
    <row r="175" spans="1:9" ht="20.100000000000001" customHeight="1">
      <c r="A175" s="167"/>
      <c r="B175" s="7"/>
      <c r="C175" s="7"/>
      <c r="D175" s="88"/>
      <c r="E175" s="88"/>
      <c r="F175" s="88"/>
      <c r="I175" s="189"/>
    </row>
    <row r="176" spans="1:9" ht="27.95" customHeight="1">
      <c r="A176" s="37">
        <v>9</v>
      </c>
      <c r="B176" s="251" t="s">
        <v>298</v>
      </c>
      <c r="C176" s="252"/>
      <c r="D176" s="190">
        <v>0</v>
      </c>
      <c r="E176" s="178">
        <f>SUM(E177:E183)</f>
        <v>0</v>
      </c>
      <c r="F176" s="178">
        <f>SUM(F177:F183)</f>
        <v>0</v>
      </c>
      <c r="G176" s="178">
        <f>SUM(G177:G183)</f>
        <v>0</v>
      </c>
      <c r="H176" s="179">
        <f>SUM(H177:H183)</f>
        <v>0</v>
      </c>
      <c r="I176" s="191"/>
    </row>
    <row r="177" spans="1:9" s="193" customFormat="1">
      <c r="A177" s="181" t="s">
        <v>299</v>
      </c>
      <c r="B177" s="18"/>
      <c r="C177" s="182" t="s">
        <v>285</v>
      </c>
      <c r="D177" s="160">
        <v>0</v>
      </c>
      <c r="E177" s="192">
        <v>0</v>
      </c>
      <c r="F177" s="188"/>
      <c r="G177" s="188"/>
      <c r="H177" s="179">
        <f>SUM(D177:G177)</f>
        <v>0</v>
      </c>
      <c r="I177" s="191"/>
    </row>
    <row r="178" spans="1:9" s="193" customFormat="1">
      <c r="A178" s="181" t="s">
        <v>300</v>
      </c>
      <c r="B178" s="185"/>
      <c r="C178" s="182" t="s">
        <v>287</v>
      </c>
      <c r="D178" s="160">
        <v>0</v>
      </c>
      <c r="E178" s="192">
        <v>0</v>
      </c>
      <c r="F178" s="188"/>
      <c r="G178" s="188"/>
      <c r="H178" s="179">
        <f t="shared" ref="H178:H182" si="34">SUM(D178:G178)</f>
        <v>0</v>
      </c>
      <c r="I178" s="191"/>
    </row>
    <row r="179" spans="1:9" s="193" customFormat="1">
      <c r="A179" s="181" t="s">
        <v>301</v>
      </c>
      <c r="B179" s="18"/>
      <c r="C179" s="186" t="s">
        <v>289</v>
      </c>
      <c r="D179" s="160">
        <v>0</v>
      </c>
      <c r="E179" s="192">
        <v>0</v>
      </c>
      <c r="F179" s="188"/>
      <c r="G179" s="188"/>
      <c r="H179" s="179">
        <f t="shared" si="34"/>
        <v>0</v>
      </c>
      <c r="I179" s="191"/>
    </row>
    <row r="180" spans="1:9" s="193" customFormat="1">
      <c r="A180" s="181" t="s">
        <v>302</v>
      </c>
      <c r="B180" s="18"/>
      <c r="C180" s="182" t="s">
        <v>291</v>
      </c>
      <c r="D180" s="160">
        <v>0</v>
      </c>
      <c r="E180" s="192">
        <v>0</v>
      </c>
      <c r="F180" s="188"/>
      <c r="G180" s="188">
        <v>0</v>
      </c>
      <c r="H180" s="179">
        <f t="shared" si="34"/>
        <v>0</v>
      </c>
      <c r="I180" s="191"/>
    </row>
    <row r="181" spans="1:9" s="193" customFormat="1">
      <c r="A181" s="181" t="s">
        <v>303</v>
      </c>
      <c r="B181" s="18"/>
      <c r="C181" s="182" t="s">
        <v>293</v>
      </c>
      <c r="D181" s="160">
        <v>0</v>
      </c>
      <c r="E181" s="192"/>
      <c r="F181" s="188"/>
      <c r="G181" s="188">
        <v>0</v>
      </c>
      <c r="H181" s="179">
        <f t="shared" si="34"/>
        <v>0</v>
      </c>
      <c r="I181" s="191"/>
    </row>
    <row r="182" spans="1:9" s="193" customFormat="1">
      <c r="A182" s="181" t="s">
        <v>304</v>
      </c>
      <c r="B182" s="18"/>
      <c r="C182" s="182" t="s">
        <v>305</v>
      </c>
      <c r="D182" s="160">
        <v>0</v>
      </c>
      <c r="E182" s="192">
        <v>0</v>
      </c>
      <c r="F182" s="188">
        <v>0</v>
      </c>
      <c r="G182" s="188"/>
      <c r="H182" s="179">
        <f t="shared" si="34"/>
        <v>0</v>
      </c>
      <c r="I182" s="191"/>
    </row>
    <row r="183" spans="1:9" s="193" customFormat="1">
      <c r="A183" s="181" t="s">
        <v>306</v>
      </c>
      <c r="B183" s="18"/>
      <c r="C183" s="182" t="s">
        <v>297</v>
      </c>
      <c r="D183" s="160">
        <v>0</v>
      </c>
      <c r="E183" s="62">
        <v>0</v>
      </c>
      <c r="F183" s="61">
        <v>0</v>
      </c>
      <c r="G183" s="188">
        <v>0</v>
      </c>
      <c r="H183" s="179">
        <f>SUM(E183:G183)</f>
        <v>0</v>
      </c>
      <c r="I183" s="191"/>
    </row>
    <row r="184" spans="1:9" s="43" customFormat="1" ht="20.100000000000001" customHeight="1">
      <c r="A184" s="167"/>
      <c r="B184" s="108"/>
      <c r="C184" s="108"/>
      <c r="D184" s="109"/>
      <c r="E184" s="109"/>
      <c r="F184" s="109"/>
      <c r="G184" s="86"/>
      <c r="H184" s="86"/>
      <c r="I184" s="194"/>
    </row>
    <row r="185" spans="1:9">
      <c r="A185" s="37">
        <v>10</v>
      </c>
      <c r="B185" s="238" t="s">
        <v>307</v>
      </c>
      <c r="C185" s="239" t="s">
        <v>308</v>
      </c>
      <c r="D185" s="95">
        <f>SUM(D186:D192)</f>
        <v>5038487</v>
      </c>
      <c r="E185" s="133">
        <f>SUM(E186:E192)</f>
        <v>430893.4</v>
      </c>
      <c r="F185" s="121">
        <f>SUM(F186:F192)</f>
        <v>497568.86000000004</v>
      </c>
      <c r="G185" s="121">
        <f>SUM(G186:G192)</f>
        <v>0</v>
      </c>
      <c r="H185" s="179">
        <f>SUM(E185:G185)</f>
        <v>928462.26</v>
      </c>
      <c r="I185" s="92"/>
    </row>
    <row r="186" spans="1:9" s="193" customFormat="1">
      <c r="A186" s="195" t="s">
        <v>309</v>
      </c>
      <c r="B186" s="18"/>
      <c r="C186" s="182" t="s">
        <v>285</v>
      </c>
      <c r="D186" s="59">
        <v>664669</v>
      </c>
      <c r="E186" s="19">
        <v>24870</v>
      </c>
      <c r="F186" s="19">
        <f>13000+1632.1+212984</f>
        <v>227616.1</v>
      </c>
      <c r="G186" s="188">
        <v>0</v>
      </c>
      <c r="H186" s="179">
        <f t="shared" ref="H186:H192" si="35">SUM(E186:G186)</f>
        <v>252486.1</v>
      </c>
      <c r="I186" s="180"/>
    </row>
    <row r="187" spans="1:9" s="193" customFormat="1">
      <c r="A187" s="195" t="s">
        <v>310</v>
      </c>
      <c r="B187" s="185"/>
      <c r="C187" s="182" t="s">
        <v>287</v>
      </c>
      <c r="D187" s="59">
        <v>146000</v>
      </c>
      <c r="E187" s="19">
        <v>33800</v>
      </c>
      <c r="F187" s="188">
        <v>1049.75</v>
      </c>
      <c r="G187" s="188">
        <v>0</v>
      </c>
      <c r="H187" s="179">
        <f t="shared" si="35"/>
        <v>34849.75</v>
      </c>
      <c r="I187" s="180"/>
    </row>
    <row r="188" spans="1:9" s="193" customFormat="1">
      <c r="A188" s="195" t="s">
        <v>311</v>
      </c>
      <c r="B188" s="18"/>
      <c r="C188" s="186" t="s">
        <v>289</v>
      </c>
      <c r="D188" s="59">
        <v>76000</v>
      </c>
      <c r="E188" s="19">
        <v>25566.95</v>
      </c>
      <c r="F188" s="188">
        <v>41727.74</v>
      </c>
      <c r="G188" s="188">
        <v>0</v>
      </c>
      <c r="H188" s="179">
        <f t="shared" si="35"/>
        <v>67294.69</v>
      </c>
      <c r="I188" s="180"/>
    </row>
    <row r="189" spans="1:9" s="193" customFormat="1">
      <c r="A189" s="195" t="s">
        <v>312</v>
      </c>
      <c r="B189" s="18"/>
      <c r="C189" s="182" t="s">
        <v>291</v>
      </c>
      <c r="D189" s="59">
        <v>681818</v>
      </c>
      <c r="E189" s="19">
        <v>0</v>
      </c>
      <c r="F189" s="188">
        <v>0</v>
      </c>
      <c r="G189" s="188">
        <v>0</v>
      </c>
      <c r="H189" s="179">
        <f t="shared" si="35"/>
        <v>0</v>
      </c>
      <c r="I189" s="180"/>
    </row>
    <row r="190" spans="1:9" s="193" customFormat="1">
      <c r="A190" s="195" t="s">
        <v>313</v>
      </c>
      <c r="B190" s="18"/>
      <c r="C190" s="182" t="s">
        <v>293</v>
      </c>
      <c r="D190" s="59">
        <v>3470000</v>
      </c>
      <c r="E190" s="19">
        <v>0</v>
      </c>
      <c r="F190" s="188">
        <v>0</v>
      </c>
      <c r="G190" s="188">
        <v>0</v>
      </c>
      <c r="H190" s="179">
        <f t="shared" si="35"/>
        <v>0</v>
      </c>
      <c r="I190" s="180"/>
    </row>
    <row r="191" spans="1:9" s="193" customFormat="1">
      <c r="A191" s="195" t="s">
        <v>314</v>
      </c>
      <c r="B191" s="18"/>
      <c r="C191" s="182" t="s">
        <v>305</v>
      </c>
      <c r="D191" s="59"/>
      <c r="E191" s="19">
        <v>0</v>
      </c>
      <c r="F191" s="188">
        <v>0</v>
      </c>
      <c r="G191" s="188">
        <v>0</v>
      </c>
      <c r="H191" s="179">
        <f t="shared" si="35"/>
        <v>0</v>
      </c>
      <c r="I191" s="180"/>
    </row>
    <row r="192" spans="1:9" s="193" customFormat="1">
      <c r="A192" s="195" t="s">
        <v>315</v>
      </c>
      <c r="B192" s="18"/>
      <c r="C192" s="182" t="s">
        <v>316</v>
      </c>
      <c r="D192" s="59">
        <v>0</v>
      </c>
      <c r="E192" s="19">
        <f>143029.04+203627.41</f>
        <v>346656.45</v>
      </c>
      <c r="F192" s="188">
        <f>115341.72+111833.55</f>
        <v>227175.27000000002</v>
      </c>
      <c r="G192" s="188">
        <v>0</v>
      </c>
      <c r="H192" s="179">
        <f t="shared" si="35"/>
        <v>573831.72</v>
      </c>
      <c r="I192" s="180"/>
    </row>
    <row r="193" spans="1:9" ht="24" customHeight="1">
      <c r="A193" s="167"/>
      <c r="D193" s="196"/>
      <c r="E193" s="196"/>
      <c r="F193" s="196"/>
    </row>
    <row r="194" spans="1:9" s="43" customFormat="1" ht="16.5" customHeight="1">
      <c r="A194" s="172" t="s">
        <v>317</v>
      </c>
      <c r="B194" s="81"/>
      <c r="C194" s="81"/>
      <c r="D194" s="83"/>
      <c r="E194" s="83"/>
      <c r="F194" s="83"/>
      <c r="G194" s="86"/>
      <c r="H194" s="86"/>
      <c r="I194" s="173"/>
    </row>
    <row r="195" spans="1:9" s="43" customFormat="1" ht="16.5" customHeight="1">
      <c r="A195" s="172"/>
      <c r="B195" s="81"/>
      <c r="C195" s="81"/>
      <c r="D195" s="83"/>
      <c r="E195" s="83"/>
      <c r="F195" s="83"/>
      <c r="G195" s="86"/>
      <c r="H195" s="86"/>
      <c r="I195" s="173"/>
    </row>
    <row r="196" spans="1:9" s="43" customFormat="1" ht="16.5" customHeight="1">
      <c r="A196" s="172"/>
      <c r="B196" s="81"/>
      <c r="C196" s="81"/>
      <c r="D196" s="83"/>
      <c r="E196" s="83"/>
      <c r="F196" s="197"/>
      <c r="G196" s="86"/>
      <c r="H196" s="86"/>
      <c r="I196" s="173"/>
    </row>
    <row r="197" spans="1:9" ht="27" customHeight="1">
      <c r="A197" s="167"/>
      <c r="B197" s="7"/>
      <c r="C197" s="7"/>
      <c r="D197" s="91" t="s">
        <v>62</v>
      </c>
      <c r="E197" s="32" t="s">
        <v>12</v>
      </c>
      <c r="F197" s="33" t="s">
        <v>13</v>
      </c>
      <c r="G197" s="91" t="s">
        <v>14</v>
      </c>
      <c r="H197" s="32" t="s">
        <v>15</v>
      </c>
      <c r="I197" s="92" t="s">
        <v>16</v>
      </c>
    </row>
    <row r="198" spans="1:9" s="36" customFormat="1">
      <c r="A198" s="198">
        <v>11</v>
      </c>
      <c r="B198" s="110" t="s">
        <v>318</v>
      </c>
      <c r="C198" s="111"/>
      <c r="D198" s="91"/>
      <c r="E198" s="32">
        <f>SUM(E199:E203)</f>
        <v>47921688.960000001</v>
      </c>
      <c r="F198" s="32">
        <f>SUM(F199:F203)</f>
        <v>27878168.099999998</v>
      </c>
      <c r="G198" s="32">
        <f>SUM(G199:G203)</f>
        <v>0</v>
      </c>
      <c r="H198" s="199"/>
      <c r="I198" s="92"/>
    </row>
    <row r="199" spans="1:9" s="193" customFormat="1" ht="15" customHeight="1">
      <c r="A199" s="195" t="s">
        <v>319</v>
      </c>
      <c r="B199" s="200" t="s">
        <v>320</v>
      </c>
      <c r="C199" s="201"/>
      <c r="D199" s="202">
        <v>0</v>
      </c>
      <c r="E199" s="19">
        <v>23556467.98</v>
      </c>
      <c r="F199" s="19">
        <v>14623103.119999999</v>
      </c>
      <c r="G199" s="203"/>
      <c r="H199" s="199"/>
      <c r="I199" s="204"/>
    </row>
    <row r="200" spans="1:9" s="193" customFormat="1" ht="15" customHeight="1">
      <c r="A200" s="195" t="s">
        <v>321</v>
      </c>
      <c r="B200" s="18" t="s">
        <v>322</v>
      </c>
      <c r="C200" s="182"/>
      <c r="D200" s="160">
        <v>0</v>
      </c>
      <c r="E200" s="19">
        <f>D17-E17</f>
        <v>23336000</v>
      </c>
      <c r="F200" s="19">
        <f>E200-F17</f>
        <v>11672000</v>
      </c>
      <c r="G200" s="19">
        <v>0</v>
      </c>
      <c r="H200" s="205"/>
      <c r="I200" s="191"/>
    </row>
    <row r="201" spans="1:9" s="193" customFormat="1" ht="15" customHeight="1">
      <c r="A201" s="195" t="s">
        <v>323</v>
      </c>
      <c r="B201" s="185" t="s">
        <v>324</v>
      </c>
      <c r="C201" s="186"/>
      <c r="D201" s="160">
        <v>0</v>
      </c>
      <c r="E201" s="19">
        <f>524821.98+174868</f>
        <v>699689.98</v>
      </c>
      <c r="F201" s="19">
        <f>-H19</f>
        <v>1224373.98</v>
      </c>
      <c r="G201" s="19">
        <v>0</v>
      </c>
      <c r="H201" s="205"/>
      <c r="I201" s="191"/>
    </row>
    <row r="202" spans="1:9" s="193" customFormat="1" ht="15" customHeight="1">
      <c r="A202" s="195" t="s">
        <v>325</v>
      </c>
      <c r="B202" s="18" t="s">
        <v>326</v>
      </c>
      <c r="C202" s="182"/>
      <c r="D202" s="160">
        <v>0</v>
      </c>
      <c r="E202" s="19">
        <f>271283+58248</f>
        <v>329531</v>
      </c>
      <c r="F202" s="19">
        <f>-H21</f>
        <v>358691</v>
      </c>
      <c r="G202" s="19">
        <v>0</v>
      </c>
      <c r="H202" s="205"/>
      <c r="I202" s="191"/>
    </row>
    <row r="203" spans="1:9" s="193" customFormat="1" ht="15" customHeight="1">
      <c r="A203" s="195" t="s">
        <v>327</v>
      </c>
      <c r="B203" s="206" t="s">
        <v>328</v>
      </c>
      <c r="C203" s="168"/>
      <c r="D203" s="207">
        <v>0</v>
      </c>
      <c r="E203" s="208">
        <v>0</v>
      </c>
      <c r="F203" s="19"/>
      <c r="G203" s="19">
        <v>0</v>
      </c>
      <c r="H203" s="205"/>
      <c r="I203" s="209"/>
    </row>
    <row r="204" spans="1:9" s="107" customFormat="1">
      <c r="A204" s="198" t="s">
        <v>329</v>
      </c>
      <c r="B204" s="210" t="s">
        <v>330</v>
      </c>
      <c r="C204" s="211"/>
      <c r="D204" s="212">
        <v>0</v>
      </c>
      <c r="E204" s="213">
        <f>E205+E207+E206</f>
        <v>620022.71999999974</v>
      </c>
      <c r="F204" s="214">
        <f>F205+F207+F206</f>
        <v>3255916.3</v>
      </c>
      <c r="G204" s="213">
        <f t="shared" ref="G204" si="36">SUM(G205:G207)</f>
        <v>0</v>
      </c>
      <c r="H204" s="215"/>
      <c r="I204" s="216"/>
    </row>
    <row r="205" spans="1:9" s="107" customFormat="1">
      <c r="A205" s="195" t="s">
        <v>331</v>
      </c>
      <c r="B205" s="206" t="s">
        <v>332</v>
      </c>
      <c r="C205" s="168"/>
      <c r="D205" s="207">
        <v>0</v>
      </c>
      <c r="E205" s="19">
        <v>620022.72</v>
      </c>
      <c r="F205" s="19">
        <f>E205+F33</f>
        <v>3255916.3</v>
      </c>
      <c r="G205" s="19">
        <v>0</v>
      </c>
      <c r="H205" s="205"/>
      <c r="I205" s="209"/>
    </row>
    <row r="206" spans="1:9" s="107" customFormat="1">
      <c r="A206" s="195" t="s">
        <v>333</v>
      </c>
      <c r="B206" s="206" t="s">
        <v>334</v>
      </c>
      <c r="C206" s="168"/>
      <c r="D206" s="207"/>
      <c r="E206" s="19">
        <v>7226042.54</v>
      </c>
      <c r="F206" s="19">
        <f>-F207</f>
        <v>8330279.5999999996</v>
      </c>
      <c r="G206" s="19">
        <v>0</v>
      </c>
      <c r="H206" s="205"/>
      <c r="I206" s="209"/>
    </row>
    <row r="207" spans="1:9">
      <c r="A207" s="195" t="s">
        <v>335</v>
      </c>
      <c r="B207" s="206" t="s">
        <v>336</v>
      </c>
      <c r="C207" s="168"/>
      <c r="D207" s="207"/>
      <c r="E207" s="19">
        <v>-7226042.54</v>
      </c>
      <c r="F207" s="19">
        <f>-1883329.45-3014014.85-1163275.81-2269659.49</f>
        <v>-8330279.5999999996</v>
      </c>
      <c r="G207" s="19">
        <v>0</v>
      </c>
      <c r="H207" s="205"/>
      <c r="I207" s="209"/>
    </row>
    <row r="208" spans="1:9" s="36" customFormat="1">
      <c r="A208" s="198">
        <v>13</v>
      </c>
      <c r="B208" s="217" t="s">
        <v>337</v>
      </c>
      <c r="C208" s="30"/>
      <c r="D208" s="91"/>
      <c r="E208" s="178">
        <f>SUM(E209:E214)</f>
        <v>26272261.220000003</v>
      </c>
      <c r="F208" s="218">
        <f>SUM(F209:F214)</f>
        <v>22171931.540000003</v>
      </c>
      <c r="G208" s="218">
        <f>SUM(G209:G214)</f>
        <v>0</v>
      </c>
      <c r="H208" s="219"/>
      <c r="I208" s="92"/>
    </row>
    <row r="209" spans="1:10" s="193" customFormat="1" ht="15" customHeight="1">
      <c r="A209" s="220" t="s">
        <v>338</v>
      </c>
      <c r="B209" s="201" t="s">
        <v>339</v>
      </c>
      <c r="C209" s="201"/>
      <c r="D209" s="202">
        <v>0</v>
      </c>
      <c r="E209" s="19">
        <v>4289240.09</v>
      </c>
      <c r="F209" s="19">
        <v>5485405.04</v>
      </c>
      <c r="G209" s="19">
        <v>0</v>
      </c>
      <c r="H209" s="221"/>
      <c r="I209" s="204"/>
    </row>
    <row r="210" spans="1:10" s="193" customFormat="1" ht="15" customHeight="1">
      <c r="A210" s="220" t="s">
        <v>340</v>
      </c>
      <c r="B210" s="182" t="s">
        <v>341</v>
      </c>
      <c r="C210" s="182"/>
      <c r="D210" s="160">
        <v>0</v>
      </c>
      <c r="E210" s="164">
        <v>2818043.98</v>
      </c>
      <c r="F210" s="188">
        <f>1302832.93+650160.7</f>
        <v>1952993.63</v>
      </c>
      <c r="G210" s="222">
        <v>0</v>
      </c>
      <c r="H210" s="221"/>
      <c r="I210" s="191"/>
    </row>
    <row r="211" spans="1:10" s="193" customFormat="1" ht="15" customHeight="1">
      <c r="A211" s="220" t="s">
        <v>342</v>
      </c>
      <c r="B211" s="18" t="s">
        <v>343</v>
      </c>
      <c r="C211" s="182"/>
      <c r="D211" s="160">
        <v>0</v>
      </c>
      <c r="E211" s="164">
        <v>18153939.57</v>
      </c>
      <c r="F211" s="188">
        <v>13083757.640000001</v>
      </c>
      <c r="G211" s="222">
        <v>0</v>
      </c>
      <c r="H211" s="223"/>
      <c r="I211" s="191"/>
    </row>
    <row r="212" spans="1:10" s="193" customFormat="1" ht="15" customHeight="1">
      <c r="A212" s="220" t="s">
        <v>344</v>
      </c>
      <c r="B212" s="182" t="s">
        <v>345</v>
      </c>
      <c r="C212" s="186"/>
      <c r="D212" s="160">
        <v>0</v>
      </c>
      <c r="E212" s="164">
        <v>706217.28</v>
      </c>
      <c r="F212" s="188">
        <v>1257735.1100000001</v>
      </c>
      <c r="G212" s="222">
        <v>0</v>
      </c>
      <c r="H212" s="221"/>
      <c r="I212" s="191"/>
    </row>
    <row r="213" spans="1:10" s="193" customFormat="1" ht="15" customHeight="1">
      <c r="A213" s="220" t="s">
        <v>346</v>
      </c>
      <c r="B213" s="182" t="s">
        <v>347</v>
      </c>
      <c r="C213" s="182"/>
      <c r="D213" s="160">
        <v>0</v>
      </c>
      <c r="E213" s="19">
        <v>278853.8</v>
      </c>
      <c r="F213" s="19">
        <v>373999.52</v>
      </c>
      <c r="G213" s="222">
        <v>0</v>
      </c>
      <c r="H213" s="221"/>
      <c r="I213" s="191"/>
    </row>
    <row r="214" spans="1:10" s="193" customFormat="1" ht="15" customHeight="1">
      <c r="A214" s="220" t="s">
        <v>348</v>
      </c>
      <c r="B214" s="182" t="s">
        <v>349</v>
      </c>
      <c r="C214" s="182"/>
      <c r="D214" s="160">
        <v>0</v>
      </c>
      <c r="E214" s="19">
        <v>25966.5</v>
      </c>
      <c r="F214" s="19">
        <v>18040.599999999999</v>
      </c>
      <c r="G214" s="19">
        <v>0</v>
      </c>
      <c r="H214" s="221"/>
      <c r="I214" s="191"/>
    </row>
    <row r="215" spans="1:10" s="193" customFormat="1" ht="15" customHeight="1">
      <c r="A215" s="224"/>
      <c r="B215" s="1"/>
      <c r="C215" s="1"/>
      <c r="D215" s="225"/>
      <c r="E215" s="225"/>
      <c r="F215" s="225"/>
      <c r="G215" s="226"/>
      <c r="H215" s="226"/>
      <c r="I215" s="227"/>
      <c r="J215" s="5"/>
    </row>
    <row r="216" spans="1:10" s="193" customFormat="1" ht="15" customHeight="1">
      <c r="A216" s="224" t="s">
        <v>350</v>
      </c>
      <c r="B216" s="1"/>
      <c r="C216" s="1"/>
      <c r="D216" s="225"/>
      <c r="E216" s="225"/>
      <c r="F216" s="225"/>
      <c r="G216" s="226"/>
      <c r="H216" s="226"/>
      <c r="I216" s="227"/>
      <c r="J216" s="5"/>
    </row>
    <row r="217" spans="1:10" s="193" customFormat="1" ht="17.25" customHeight="1">
      <c r="A217" s="224" t="s">
        <v>351</v>
      </c>
      <c r="B217" s="1"/>
      <c r="C217" s="1"/>
      <c r="D217" s="225"/>
      <c r="E217" s="225"/>
      <c r="F217" s="225"/>
      <c r="G217" s="226"/>
      <c r="H217" s="226"/>
      <c r="I217" s="227"/>
      <c r="J217" s="5"/>
    </row>
    <row r="218" spans="1:10" s="193" customFormat="1" ht="12.75" customHeight="1">
      <c r="A218" s="224" t="s">
        <v>352</v>
      </c>
      <c r="B218" s="1"/>
      <c r="C218" s="1"/>
      <c r="D218" s="234"/>
      <c r="E218" s="228"/>
      <c r="F218" s="228"/>
      <c r="G218" s="229"/>
      <c r="H218" s="229"/>
      <c r="I218" s="230"/>
      <c r="J218" s="5"/>
    </row>
    <row r="219" spans="1:10" s="193" customFormat="1" ht="12.75" customHeight="1">
      <c r="A219" s="224" t="s">
        <v>353</v>
      </c>
      <c r="B219" s="236"/>
      <c r="C219" s="235"/>
      <c r="D219" s="234"/>
      <c r="E219" s="228"/>
      <c r="F219" s="228"/>
      <c r="G219" s="229"/>
      <c r="H219" s="229"/>
      <c r="I219" s="230"/>
      <c r="J219" s="5"/>
    </row>
    <row r="220" spans="1:10" s="193" customFormat="1" ht="28.5" customHeight="1">
      <c r="A220" s="237" t="s">
        <v>354</v>
      </c>
      <c r="B220" s="237"/>
      <c r="C220" s="237"/>
      <c r="D220" s="237"/>
      <c r="E220" s="237"/>
      <c r="F220" s="237"/>
      <c r="G220" s="237"/>
      <c r="H220" s="237"/>
      <c r="I220" s="237"/>
      <c r="J220" s="5"/>
    </row>
    <row r="221" spans="1:10" s="193" customFormat="1">
      <c r="A221" s="224" t="s">
        <v>355</v>
      </c>
      <c r="B221" s="236"/>
      <c r="C221" s="235"/>
      <c r="D221" s="234"/>
      <c r="E221" s="228"/>
      <c r="F221" s="228"/>
      <c r="G221" s="229"/>
      <c r="H221" s="229"/>
      <c r="I221" s="230"/>
      <c r="J221" s="5"/>
    </row>
    <row r="222" spans="1:10" s="193" customFormat="1" ht="39" customHeight="1">
      <c r="A222" s="237" t="s">
        <v>356</v>
      </c>
      <c r="B222" s="237"/>
      <c r="C222" s="237"/>
      <c r="D222" s="237"/>
      <c r="E222" s="237"/>
      <c r="F222" s="237"/>
      <c r="G222" s="237"/>
      <c r="H222" s="237"/>
      <c r="I222" s="237"/>
      <c r="J222" s="5"/>
    </row>
    <row r="223" spans="1:10" s="193" customFormat="1">
      <c r="A223" s="224"/>
      <c r="B223" s="1"/>
      <c r="C223" s="1"/>
      <c r="D223" s="228"/>
      <c r="E223" s="228"/>
      <c r="F223" s="228"/>
      <c r="G223" s="229"/>
      <c r="H223" s="229"/>
      <c r="I223" s="230"/>
      <c r="J223" s="5"/>
    </row>
    <row r="224" spans="1:10">
      <c r="A224" s="231" t="s">
        <v>357</v>
      </c>
    </row>
    <row r="225" spans="1:10">
      <c r="A225" s="231"/>
    </row>
    <row r="226" spans="1:10">
      <c r="A226" s="231"/>
    </row>
    <row r="227" spans="1:10" hidden="1">
      <c r="A227" s="232" t="s">
        <v>358</v>
      </c>
      <c r="D227" s="2" t="s">
        <v>359</v>
      </c>
    </row>
    <row r="228" spans="1:10" s="233" customFormat="1" hidden="1">
      <c r="A228" s="232" t="s">
        <v>360</v>
      </c>
      <c r="B228" s="1"/>
      <c r="C228" s="1"/>
      <c r="D228" s="29" t="s">
        <v>361</v>
      </c>
      <c r="E228" s="2"/>
      <c r="F228" s="2"/>
      <c r="G228" s="3"/>
      <c r="H228" s="3"/>
      <c r="I228" s="4"/>
      <c r="J228" s="5"/>
    </row>
    <row r="229" spans="1:10" s="233" customFormat="1" hidden="1">
      <c r="A229" s="232" t="s">
        <v>362</v>
      </c>
      <c r="B229" s="1"/>
      <c r="C229" s="1"/>
      <c r="D229" s="29" t="s">
        <v>363</v>
      </c>
      <c r="E229" s="2"/>
      <c r="F229" s="2"/>
      <c r="G229" s="3"/>
      <c r="H229" s="3"/>
      <c r="I229" s="4"/>
      <c r="J229" s="5"/>
    </row>
    <row r="230" spans="1:10" s="233" customFormat="1">
      <c r="A230" s="167"/>
      <c r="B230" s="1"/>
      <c r="C230" s="1"/>
      <c r="D230" s="2"/>
      <c r="E230" s="2"/>
      <c r="F230" s="2"/>
      <c r="G230" s="3"/>
      <c r="H230" s="3"/>
      <c r="I230" s="4"/>
      <c r="J230" s="5"/>
    </row>
    <row r="231" spans="1:10" s="233" customFormat="1">
      <c r="A231" s="167"/>
      <c r="B231" s="1"/>
      <c r="C231" s="1"/>
      <c r="D231" s="2"/>
      <c r="E231" s="2"/>
      <c r="F231" s="2"/>
      <c r="G231" s="3"/>
      <c r="H231" s="3"/>
      <c r="I231" s="4"/>
      <c r="J231" s="5"/>
    </row>
    <row r="232" spans="1:10" s="233" customFormat="1">
      <c r="A232" s="167"/>
      <c r="B232" s="1"/>
      <c r="C232" s="1"/>
      <c r="D232" s="2"/>
      <c r="E232" s="2"/>
      <c r="F232" s="2"/>
      <c r="G232" s="3"/>
      <c r="H232" s="3"/>
      <c r="I232" s="4"/>
      <c r="J232" s="5"/>
    </row>
    <row r="233" spans="1:10" s="233" customFormat="1">
      <c r="A233" s="167"/>
      <c r="B233" s="1"/>
      <c r="C233" s="1"/>
      <c r="D233" s="2"/>
      <c r="E233" s="2"/>
      <c r="F233" s="2"/>
      <c r="G233" s="3"/>
      <c r="H233" s="3"/>
      <c r="I233" s="4"/>
      <c r="J233" s="5"/>
    </row>
    <row r="234" spans="1:10" s="233" customFormat="1">
      <c r="A234" s="167"/>
      <c r="B234" s="1"/>
      <c r="C234" s="1"/>
      <c r="D234" s="2"/>
      <c r="E234" s="2"/>
      <c r="F234" s="2"/>
      <c r="G234" s="3"/>
      <c r="H234" s="3"/>
      <c r="I234" s="4"/>
      <c r="J234" s="5"/>
    </row>
  </sheetData>
  <autoFilter ref="A15:I38" xr:uid="{4181B477-B21C-47FC-A131-74F868E7F12B}">
    <filterColumn colId="1" showButton="0"/>
  </autoFilter>
  <mergeCells count="14">
    <mergeCell ref="A220:I220"/>
    <mergeCell ref="A222:I222"/>
    <mergeCell ref="B185:C185"/>
    <mergeCell ref="A11:I11"/>
    <mergeCell ref="B15:C15"/>
    <mergeCell ref="B16:C16"/>
    <mergeCell ref="B42:C42"/>
    <mergeCell ref="B43:C43"/>
    <mergeCell ref="B51:C51"/>
    <mergeCell ref="B55:C55"/>
    <mergeCell ref="B155:C155"/>
    <mergeCell ref="B161:C161"/>
    <mergeCell ref="B167:C167"/>
    <mergeCell ref="B176:C176"/>
  </mergeCells>
  <pageMargins left="1.1811023622047245" right="0.27559055118110237" top="0.31496062992125984" bottom="0.31496062992125984" header="0.31496062992125984" footer="0.43307086614173229"/>
  <pageSetup paperSize="9" scale="74" orientation="landscape" r:id="rId1"/>
  <rowBreaks count="4" manualBreakCount="4">
    <brk id="39" max="16383" man="1"/>
    <brk id="120" max="8" man="1"/>
    <brk id="161" max="16383" man="1"/>
    <brk id="193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fe4d2-8a50-4f4f-b09d-a25f01f187ba" xsi:nil="true"/>
    <lcf76f155ced4ddcb4097134ff3c332f xmlns="2970bbc7-5411-4b46-a946-3d68634bd3c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95FC33B8B52F429B554D6C8DF91245" ma:contentTypeVersion="18" ma:contentTypeDescription="Crie um novo documento." ma:contentTypeScope="" ma:versionID="41fb70bbe62f74747495bf8ede893a07">
  <xsd:schema xmlns:xsd="http://www.w3.org/2001/XMLSchema" xmlns:xs="http://www.w3.org/2001/XMLSchema" xmlns:p="http://schemas.microsoft.com/office/2006/metadata/properties" xmlns:ns2="2970bbc7-5411-4b46-a946-3d68634bd3c4" xmlns:ns3="cc0fe4d2-8a50-4f4f-b09d-a25f01f187ba" targetNamespace="http://schemas.microsoft.com/office/2006/metadata/properties" ma:root="true" ma:fieldsID="3721b12e52f74fabbdd9f482e46f8d03" ns2:_="" ns3:_="">
    <xsd:import namespace="2970bbc7-5411-4b46-a946-3d68634bd3c4"/>
    <xsd:import namespace="cc0fe4d2-8a50-4f4f-b09d-a25f01f187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0bbc7-5411-4b46-a946-3d68634bd3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04bbc12-abb7-48bd-88a5-dbf75fe7c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fe4d2-8a50-4f4f-b09d-a25f01f187b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d2db9f1-ec15-492c-8358-e96e5de96624}" ma:internalName="TaxCatchAll" ma:showField="CatchAllData" ma:web="cc0fe4d2-8a50-4f4f-b09d-a25f01f187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D1E9CC-0CA1-4190-8396-DCE6E1AF4843}"/>
</file>

<file path=customXml/itemProps2.xml><?xml version="1.0" encoding="utf-8"?>
<ds:datastoreItem xmlns:ds="http://schemas.openxmlformats.org/officeDocument/2006/customXml" ds:itemID="{10F6BF69-D43E-4245-86EE-548EAB8F4FAF}"/>
</file>

<file path=customXml/itemProps3.xml><?xml version="1.0" encoding="utf-8"?>
<ds:datastoreItem xmlns:ds="http://schemas.openxmlformats.org/officeDocument/2006/customXml" ds:itemID="{80F46B21-D33F-4F62-B27A-E9258ECF75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APAC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Edinea Aparecida Rocha Possebon</dc:creator>
  <cp:keywords/>
  <dc:description/>
  <cp:lastModifiedBy/>
  <cp:revision/>
  <dcterms:created xsi:type="dcterms:W3CDTF">2024-09-12T16:39:58Z</dcterms:created>
  <dcterms:modified xsi:type="dcterms:W3CDTF">2024-09-19T17:43:02Z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0x0101005D95FC33B8B52F429B554D6C8DF91245</vt:lpwstr>
  </property>
</Properties>
</file>