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Financeiro/Financeiro/Contrato de Gestão PT 2021/Prestação de contas CG 2021/SEC/"/>
    </mc:Choice>
  </mc:AlternateContent>
  <xr:revisionPtr revIDLastSave="784" documentId="13_ncr:1_{42CB95AF-A6DF-4921-AFEE-5685D3E47C6B}" xr6:coauthVersionLast="47" xr6:coauthVersionMax="47" xr10:uidLastSave="{6F2DFC2C-FD0F-454D-95DC-055E4790B0A6}"/>
  <bookViews>
    <workbookView xWindow="-120" yWindow="-120" windowWidth="24240" windowHeight="13140" xr2:uid="{3933366B-7B32-4BF2-9737-9326CD252E8B}"/>
  </bookViews>
  <sheets>
    <sheet name="PrevistoxReal Co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'PrevistoxReal Cons'!$A$1:$I$233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>#REF!</definedName>
    <definedName name="BuiltIn_AutoFilter___3">[2]EMABERTO!#REF!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>#REF!</definedName>
    <definedName name="Excel_BuiltIn_Print_Area_0">#REF!</definedName>
    <definedName name="Excel_BuiltIn_Print_Titles_0">#REF!</definedName>
    <definedName name="fin_year">[3]Details!$G$53</definedName>
    <definedName name="FXRate">#REF!</definedName>
    <definedName name="juremprestimo">[1]Empréstimo!$C$6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'[5]JWR 5 Ext'!#REF!</definedName>
    <definedName name="PLT_Truck">#REF!</definedName>
    <definedName name="PRINT_TITLES_MI">#REF!</definedName>
    <definedName name="Release_no">[6]Details!#REF!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'[5]JWR 3 Ext'!#REF!</definedName>
    <definedName name="Scale">[3]Details!$B$12</definedName>
    <definedName name="sch_p06a">'[7]PRP pack'!#REF!</definedName>
    <definedName name="sch_p06b">'[7]PRP pack'!#REF!</definedName>
    <definedName name="sch_p12">#REF!</definedName>
    <definedName name="subdiv">[3]Details!$B$7</definedName>
    <definedName name="title">[3]Details!$B$2</definedName>
    <definedName name="_xlnm.Print_Titles" localSheetId="0">'PrevistoxReal Cons'!$1:$12</definedName>
    <definedName name="unit_code">[3]Details!$B$9</definedName>
    <definedName name="unit_name">[3]Details!$B$8</definedName>
    <definedName name="Validations">#REF!</definedName>
    <definedName name="vcemprestimo">[1]Empréstimo!$F$8</definedName>
    <definedName name="Version">[3]Details!$B$18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I28" i="1"/>
  <c r="G27" i="1"/>
  <c r="E149" i="1"/>
  <c r="F149" i="1"/>
  <c r="G202" i="1"/>
  <c r="F195" i="1"/>
  <c r="G195" i="1"/>
  <c r="F164" i="1" l="1"/>
  <c r="H119" i="1" l="1"/>
  <c r="H120" i="1"/>
  <c r="H121" i="1"/>
  <c r="G148" i="1" l="1"/>
  <c r="G149" i="1"/>
  <c r="G146" i="1"/>
  <c r="F80" i="1"/>
  <c r="F81" i="1"/>
  <c r="G95" i="1"/>
  <c r="H95" i="1" s="1"/>
  <c r="I119" i="1"/>
  <c r="I120" i="1"/>
  <c r="I121" i="1"/>
  <c r="H113" i="1"/>
  <c r="G72" i="1"/>
  <c r="H72" i="1" s="1"/>
  <c r="F40" i="1"/>
  <c r="I134" i="1" l="1"/>
  <c r="I128" i="1"/>
  <c r="I129" i="1"/>
  <c r="G204" i="1" l="1"/>
  <c r="G30" i="1"/>
  <c r="G29" i="1" s="1"/>
  <c r="F30" i="1"/>
  <c r="F29" i="1" s="1"/>
  <c r="F27" i="1" l="1"/>
  <c r="H27" i="1" s="1"/>
  <c r="H28" i="1"/>
  <c r="F114" i="1" l="1"/>
  <c r="E114" i="1"/>
  <c r="H56" i="1"/>
  <c r="H47" i="1"/>
  <c r="H46" i="1"/>
  <c r="H44" i="1"/>
  <c r="H43" i="1"/>
  <c r="H41" i="1"/>
  <c r="H146" i="1"/>
  <c r="H127" i="1"/>
  <c r="H106" i="1"/>
  <c r="H104" i="1"/>
  <c r="H103" i="1"/>
  <c r="H97" i="1"/>
  <c r="H90" i="1"/>
  <c r="H87" i="1"/>
  <c r="H85" i="1"/>
  <c r="H78" i="1"/>
  <c r="H83" i="1"/>
  <c r="H82" i="1"/>
  <c r="H81" i="1"/>
  <c r="H80" i="1"/>
  <c r="H79" i="1"/>
  <c r="H75" i="1"/>
  <c r="H74" i="1"/>
  <c r="H73" i="1"/>
  <c r="H71" i="1"/>
  <c r="H70" i="1"/>
  <c r="H69" i="1"/>
  <c r="H68" i="1"/>
  <c r="H66" i="1"/>
  <c r="H62" i="1"/>
  <c r="H57" i="1"/>
  <c r="H124" i="1"/>
  <c r="G153" i="1"/>
  <c r="H122" i="1"/>
  <c r="I122" i="1" s="1"/>
  <c r="H117" i="1"/>
  <c r="H94" i="1"/>
  <c r="G89" i="1"/>
  <c r="H89" i="1" s="1"/>
  <c r="G88" i="1"/>
  <c r="H88" i="1" s="1"/>
  <c r="H86" i="1"/>
  <c r="G63" i="1"/>
  <c r="H63" i="1" s="1"/>
  <c r="G60" i="1"/>
  <c r="H60" i="1" s="1"/>
  <c r="G59" i="1"/>
  <c r="H59" i="1" s="1"/>
  <c r="G42" i="1"/>
  <c r="H42" i="1" s="1"/>
  <c r="H58" i="1" l="1"/>
  <c r="H55" i="1"/>
  <c r="G101" i="1"/>
  <c r="G40" i="1"/>
  <c r="H40" i="1" s="1"/>
  <c r="G114" i="1"/>
  <c r="H61" i="1"/>
  <c r="H67" i="1"/>
  <c r="E208" i="1" l="1"/>
  <c r="E207" i="1"/>
  <c r="E203" i="1"/>
  <c r="F202" i="1"/>
  <c r="E200" i="1"/>
  <c r="H189" i="1"/>
  <c r="H188" i="1"/>
  <c r="H187" i="1"/>
  <c r="H186" i="1"/>
  <c r="H185" i="1"/>
  <c r="H184" i="1"/>
  <c r="G182" i="1"/>
  <c r="F182" i="1"/>
  <c r="D182" i="1"/>
  <c r="G173" i="1"/>
  <c r="F173" i="1"/>
  <c r="E173" i="1"/>
  <c r="D173" i="1"/>
  <c r="H171" i="1"/>
  <c r="H170" i="1"/>
  <c r="H169" i="1"/>
  <c r="H168" i="1"/>
  <c r="H167" i="1"/>
  <c r="H166" i="1"/>
  <c r="H165" i="1"/>
  <c r="G164" i="1"/>
  <c r="E164" i="1"/>
  <c r="D164" i="1"/>
  <c r="H156" i="1"/>
  <c r="I156" i="1" s="1"/>
  <c r="H155" i="1"/>
  <c r="I155" i="1" s="1"/>
  <c r="F152" i="1"/>
  <c r="H149" i="1"/>
  <c r="D149" i="1"/>
  <c r="H148" i="1"/>
  <c r="I148" i="1" s="1"/>
  <c r="D146" i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G135" i="1"/>
  <c r="F135" i="1"/>
  <c r="D135" i="1"/>
  <c r="H133" i="1"/>
  <c r="I133" i="1" s="1"/>
  <c r="H132" i="1"/>
  <c r="I132" i="1" s="1"/>
  <c r="G130" i="1"/>
  <c r="F130" i="1"/>
  <c r="H125" i="1"/>
  <c r="D124" i="1"/>
  <c r="D123" i="1" s="1"/>
  <c r="H118" i="1"/>
  <c r="I118" i="1" s="1"/>
  <c r="D114" i="1"/>
  <c r="H116" i="1"/>
  <c r="I116" i="1" s="1"/>
  <c r="I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I106" i="1"/>
  <c r="H105" i="1"/>
  <c r="I105" i="1" s="1"/>
  <c r="I104" i="1"/>
  <c r="I103" i="1"/>
  <c r="F101" i="1"/>
  <c r="D101" i="1"/>
  <c r="H99" i="1"/>
  <c r="I97" i="1"/>
  <c r="H96" i="1"/>
  <c r="I96" i="1" s="1"/>
  <c r="F93" i="1"/>
  <c r="D93" i="1"/>
  <c r="I91" i="1"/>
  <c r="D89" i="1"/>
  <c r="D88" i="1"/>
  <c r="I88" i="1" s="1"/>
  <c r="I87" i="1"/>
  <c r="D85" i="1"/>
  <c r="I85" i="1" s="1"/>
  <c r="I84" i="1"/>
  <c r="I80" i="1"/>
  <c r="D78" i="1"/>
  <c r="I75" i="1"/>
  <c r="D74" i="1"/>
  <c r="I74" i="1" s="1"/>
  <c r="I72" i="1"/>
  <c r="I71" i="1"/>
  <c r="D70" i="1"/>
  <c r="I69" i="1"/>
  <c r="I66" i="1"/>
  <c r="E64" i="1"/>
  <c r="D64" i="1"/>
  <c r="D61" i="1"/>
  <c r="D60" i="1"/>
  <c r="D59" i="1"/>
  <c r="I57" i="1"/>
  <c r="D55" i="1"/>
  <c r="H49" i="1"/>
  <c r="I49" i="1" s="1"/>
  <c r="E48" i="1"/>
  <c r="I46" i="1"/>
  <c r="H45" i="1"/>
  <c r="I45" i="1" s="1"/>
  <c r="E204" i="1"/>
  <c r="E205" i="1" s="1"/>
  <c r="D42" i="1"/>
  <c r="E197" i="1"/>
  <c r="E195" i="1" s="1"/>
  <c r="H35" i="1"/>
  <c r="I35" i="1" s="1"/>
  <c r="H34" i="1"/>
  <c r="I34" i="1" s="1"/>
  <c r="H33" i="1"/>
  <c r="E32" i="1"/>
  <c r="H31" i="1"/>
  <c r="I31" i="1" s="1"/>
  <c r="D30" i="1"/>
  <c r="D29" i="1" s="1"/>
  <c r="D27" i="1"/>
  <c r="D25" i="1"/>
  <c r="H21" i="1"/>
  <c r="I21" i="1" s="1"/>
  <c r="H20" i="1"/>
  <c r="I20" i="1" s="1"/>
  <c r="H19" i="1"/>
  <c r="I19" i="1" s="1"/>
  <c r="G18" i="1"/>
  <c r="F18" i="1"/>
  <c r="F25" i="1" s="1"/>
  <c r="E18" i="1"/>
  <c r="E25" i="1" s="1"/>
  <c r="D18" i="1"/>
  <c r="H17" i="1"/>
  <c r="I17" i="1" s="1"/>
  <c r="H25" i="1" l="1"/>
  <c r="D67" i="1"/>
  <c r="D16" i="1"/>
  <c r="E202" i="1"/>
  <c r="H135" i="1"/>
  <c r="I135" i="1" s="1"/>
  <c r="D145" i="1"/>
  <c r="D40" i="1"/>
  <c r="I42" i="1"/>
  <c r="H32" i="1"/>
  <c r="I32" i="1" s="1"/>
  <c r="E30" i="1"/>
  <c r="E29" i="1" s="1"/>
  <c r="I29" i="1" s="1"/>
  <c r="I136" i="1"/>
  <c r="I146" i="1"/>
  <c r="D76" i="1"/>
  <c r="D100" i="1"/>
  <c r="H164" i="1"/>
  <c r="I125" i="1"/>
  <c r="I149" i="1"/>
  <c r="G123" i="1"/>
  <c r="G100" i="1" s="1"/>
  <c r="G64" i="1"/>
  <c r="H65" i="1"/>
  <c r="H64" i="1" s="1"/>
  <c r="I99" i="1"/>
  <c r="H93" i="1"/>
  <c r="G152" i="1"/>
  <c r="G145" i="1"/>
  <c r="E182" i="1"/>
  <c r="H182" i="1" s="1"/>
  <c r="I73" i="1"/>
  <c r="F145" i="1"/>
  <c r="I81" i="1"/>
  <c r="E67" i="1"/>
  <c r="F76" i="1"/>
  <c r="G76" i="1"/>
  <c r="I127" i="1"/>
  <c r="H77" i="1"/>
  <c r="I27" i="1"/>
  <c r="G55" i="1"/>
  <c r="D58" i="1"/>
  <c r="D54" i="1" s="1"/>
  <c r="G67" i="1"/>
  <c r="I83" i="1"/>
  <c r="H115" i="1"/>
  <c r="E16" i="1"/>
  <c r="H48" i="1"/>
  <c r="I48" i="1" s="1"/>
  <c r="I55" i="1"/>
  <c r="F67" i="1"/>
  <c r="I79" i="1"/>
  <c r="I86" i="1"/>
  <c r="I90" i="1"/>
  <c r="E145" i="1"/>
  <c r="H153" i="1"/>
  <c r="I153" i="1" s="1"/>
  <c r="G58" i="1"/>
  <c r="G61" i="1"/>
  <c r="I68" i="1"/>
  <c r="G93" i="1"/>
  <c r="H131" i="1"/>
  <c r="I131" i="1" s="1"/>
  <c r="I41" i="1"/>
  <c r="I63" i="1"/>
  <c r="I95" i="1"/>
  <c r="H102" i="1"/>
  <c r="H101" i="1" s="1"/>
  <c r="I44" i="1"/>
  <c r="I47" i="1"/>
  <c r="I60" i="1"/>
  <c r="H92" i="1"/>
  <c r="I92" i="1" s="1"/>
  <c r="H150" i="1"/>
  <c r="I150" i="1" s="1"/>
  <c r="G16" i="1"/>
  <c r="I82" i="1"/>
  <c r="I89" i="1"/>
  <c r="H126" i="1"/>
  <c r="I126" i="1" s="1"/>
  <c r="E135" i="1"/>
  <c r="H154" i="1"/>
  <c r="F123" i="1"/>
  <c r="I124" i="1"/>
  <c r="H183" i="1"/>
  <c r="E93" i="1"/>
  <c r="I117" i="1"/>
  <c r="I70" i="1"/>
  <c r="E130" i="1"/>
  <c r="E123" i="1" s="1"/>
  <c r="H147" i="1"/>
  <c r="I43" i="1"/>
  <c r="F16" i="1"/>
  <c r="H18" i="1"/>
  <c r="H30" i="1"/>
  <c r="I30" i="1" s="1"/>
  <c r="E152" i="1"/>
  <c r="E101" i="1"/>
  <c r="H145" i="1" l="1"/>
  <c r="I145" i="1" s="1"/>
  <c r="D53" i="1"/>
  <c r="D52" i="1" s="1"/>
  <c r="D158" i="1" s="1"/>
  <c r="I115" i="1"/>
  <c r="H114" i="1"/>
  <c r="I114" i="1" s="1"/>
  <c r="I154" i="1"/>
  <c r="H152" i="1"/>
  <c r="I152" i="1" s="1"/>
  <c r="I77" i="1"/>
  <c r="H76" i="1"/>
  <c r="H123" i="1"/>
  <c r="I123" i="1" s="1"/>
  <c r="I61" i="1"/>
  <c r="I58" i="1"/>
  <c r="H130" i="1"/>
  <c r="I130" i="1" s="1"/>
  <c r="G54" i="1"/>
  <c r="H54" i="1" s="1"/>
  <c r="F100" i="1"/>
  <c r="F158" i="1" s="1"/>
  <c r="I102" i="1"/>
  <c r="I62" i="1"/>
  <c r="I56" i="1"/>
  <c r="I59" i="1"/>
  <c r="E100" i="1"/>
  <c r="I67" i="1"/>
  <c r="I101" i="1"/>
  <c r="E76" i="1"/>
  <c r="I64" i="1"/>
  <c r="I65" i="1"/>
  <c r="I25" i="1"/>
  <c r="I18" i="1"/>
  <c r="I93" i="1"/>
  <c r="I94" i="1"/>
  <c r="I147" i="1"/>
  <c r="H100" i="1" l="1"/>
  <c r="G53" i="1"/>
  <c r="G52" i="1" s="1"/>
  <c r="G158" i="1" s="1"/>
  <c r="E158" i="1"/>
  <c r="I40" i="1"/>
  <c r="I78" i="1"/>
  <c r="I76" i="1"/>
  <c r="H53" i="1" l="1"/>
  <c r="H52" i="1" s="1"/>
  <c r="H158" i="1" s="1"/>
  <c r="I100" i="1"/>
  <c r="I54" i="1"/>
  <c r="I53" i="1" l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24" authorId="0" shapeId="0" xr:uid="{4D7F9A32-DEC5-404A-8011-593EC5B2FC06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sharedStrings.xml><?xml version="1.0" encoding="utf-8"?>
<sst xmlns="http://schemas.openxmlformats.org/spreadsheetml/2006/main" count="416" uniqueCount="371">
  <si>
    <t>Exercício:</t>
  </si>
  <si>
    <t>2021</t>
  </si>
  <si>
    <t>UGE:</t>
  </si>
  <si>
    <t>UPPM</t>
  </si>
  <si>
    <t>Organização Social: Associação Pinacoteca Arte e Cultura - APAC</t>
  </si>
  <si>
    <t>Objeto Contratual:</t>
  </si>
  <si>
    <t>Pinacoteca Luz, Estação Pinacoteca e MRSP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</si>
  <si>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</si>
  <si>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</si>
  <si>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</si>
  <si>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</si>
  <si>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</si>
  <si>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CG</t>
  </si>
  <si>
    <t>1º Quad</t>
  </si>
  <si>
    <t>2º Quad</t>
  </si>
  <si>
    <t>3º Quad</t>
  </si>
  <si>
    <t>Realizado</t>
  </si>
  <si>
    <t xml:space="preserve">Real x Orçado </t>
  </si>
  <si>
    <t>Recursos Líquidos para o Contato de Gestão</t>
  </si>
  <si>
    <t>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</si>
  <si>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</si>
  <si>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</si>
  <si>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</si>
  <si>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</si>
  <si>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</si>
  <si>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</si>
  <si>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Recursos de Reserva </t>
  </si>
  <si>
    <t>1.2.3</t>
  </si>
  <si>
    <t>Constituição Recursos de Contingência</t>
  </si>
  <si>
    <t>1.2.4</t>
  </si>
  <si>
    <t>Reversão de Recursos de Contingência</t>
  </si>
  <si>
    <t>1.2.5</t>
  </si>
  <si>
    <t>Constituição de outras reservas  (especificar)</t>
  </si>
  <si>
    <t>1.2.6</t>
  </si>
  <si>
    <t>Reversão de outras reservas (especificar)</t>
  </si>
  <si>
    <t>1.3</t>
  </si>
  <si>
    <t>Outras Receitas</t>
  </si>
  <si>
    <t>1.3.1</t>
  </si>
  <si>
    <t>Saldos anteriores para a utilização no exercício</t>
  </si>
  <si>
    <t>Recursos de Investimento do Contrato de Gestão</t>
  </si>
  <si>
    <t>2.1</t>
  </si>
  <si>
    <t>Investimento do CG</t>
  </si>
  <si>
    <t>Recursos de Captação não Incentivada/Incentivada</t>
  </si>
  <si>
    <t>3.1</t>
  </si>
  <si>
    <t>Recurso de Captação Voltado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</si>
  <si>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</si>
  <si>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</si>
  <si>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</si>
  <si>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</si>
  <si>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</si>
  <si>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 xml:space="preserve">Trabalho Voluntário </t>
  </si>
  <si>
    <t>3.1.4</t>
  </si>
  <si>
    <t>Parcerias</t>
  </si>
  <si>
    <t>3.2</t>
  </si>
  <si>
    <t>Recursos de Captação voltados a Investimentos</t>
  </si>
  <si>
    <t>II - DEMONSTRAÇÃO DE RESULTADO</t>
  </si>
  <si>
    <t>RECEITAS APROPRIADAS VINCULADAS AO CONTRATO DE GESTÃO</t>
  </si>
  <si>
    <t>Orçamento
Anual</t>
  </si>
  <si>
    <t>4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</si>
  <si>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</si>
  <si>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</si>
  <si>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</si>
  <si>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</si>
  <si>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</si>
  <si>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</si>
  <si>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</si>
  <si>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</si>
  <si>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Trabalho Voluntário e Gratuidades</t>
  </si>
  <si>
    <t>4.2.4</t>
  </si>
  <si>
    <t>4.3</t>
  </si>
  <si>
    <t>Total das Receitas Financeiras</t>
  </si>
  <si>
    <t>5</t>
  </si>
  <si>
    <t>Total de Receitas para realização de metas condicionadas</t>
  </si>
  <si>
    <t>5.1</t>
  </si>
  <si>
    <t>Receitas para realização de metas condicionadas</t>
  </si>
  <si>
    <t>DESPESAS DO CONTRATO DE GESTÃO</t>
  </si>
  <si>
    <t>6.</t>
  </si>
  <si>
    <t>Total de Despesas</t>
  </si>
  <si>
    <t>6.1</t>
  </si>
  <si>
    <t>Subtotal Despesas</t>
  </si>
  <si>
    <t>6.1.1</t>
  </si>
  <si>
    <t>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</si>
  <si>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</si>
  <si>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</si>
  <si>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</si>
  <si>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</si>
  <si>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</si>
  <si>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</si>
  <si>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</si>
  <si>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</si>
  <si>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</si>
  <si>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</si>
  <si>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</si>
  <si>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</si>
  <si>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</si>
  <si>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</si>
  <si>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</si>
  <si>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</si>
  <si>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</si>
  <si>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</si>
  <si>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</si>
  <si>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</si>
  <si>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</si>
  <si>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</si>
  <si>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</si>
  <si>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</si>
  <si>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</si>
  <si>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</si>
  <si>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</si>
  <si>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</si>
  <si>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</si>
  <si>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</si>
  <si>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</si>
  <si>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</si>
  <si>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</si>
  <si>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</si>
  <si>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</si>
  <si>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(linha de ética)</t>
  </si>
  <si>
    <t>6.1.3</t>
  </si>
  <si>
    <t>Custos Administrativos e Institucionais</t>
  </si>
  <si>
    <t>6.1.3.1</t>
  </si>
  <si>
    <t>Locação de bens imóveis</t>
  </si>
  <si>
    <t>6.1.3.2</t>
  </si>
  <si>
    <t>Utilidades públicas</t>
  </si>
  <si>
    <t>6.1.3.2.1</t>
  </si>
  <si>
    <t>Agua</t>
  </si>
  <si>
    <t>6.1.3.2.2</t>
  </si>
  <si>
    <t>Energia eletrica</t>
  </si>
  <si>
    <t>6.1.3.2.3</t>
  </si>
  <si>
    <t>Gas</t>
  </si>
  <si>
    <t>6.1.3.2.4</t>
  </si>
  <si>
    <t>Internet</t>
  </si>
  <si>
    <t>6.1.3.2.5</t>
  </si>
  <si>
    <t>Telefonia</t>
  </si>
  <si>
    <t>6.1.3.2.6</t>
  </si>
  <si>
    <t>Outros (descrever)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</si>
  <si>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</si>
  <si>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</si>
  <si>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</si>
  <si>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</si>
  <si>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</si>
  <si>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</si>
  <si>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</si>
  <si>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</si>
  <si>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</si>
  <si>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</si>
  <si>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</si>
  <si>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</si>
  <si>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</si>
  <si>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</si>
  <si>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</si>
  <si>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>Outras Despesas (Despesas com captação)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</si>
  <si>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</si>
  <si>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</si>
  <si>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</si>
  <si>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</si>
  <si>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</si>
  <si>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</si>
  <si>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</si>
  <si>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</si>
  <si>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</si>
  <si>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</si>
  <si>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</si>
  <si>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</si>
  <si>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</si>
  <si>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(melhorias estruturais, projetos civis e arquitetonicos)</t>
  </si>
  <si>
    <t>6.1.5</t>
  </si>
  <si>
    <t>Programas de Trabalho da Área Fim</t>
  </si>
  <si>
    <t>6.1.5.1</t>
  </si>
  <si>
    <t>Programa de Acervo</t>
  </si>
  <si>
    <t>6.1.5.1.1</t>
  </si>
  <si>
    <t>Aquisição de acervo museológico / bibliográfico</t>
  </si>
  <si>
    <t>6.1.5.1.2</t>
  </si>
  <si>
    <t>Reserva Tecnica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</si>
  <si>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</si>
  <si>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</si>
  <si>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</si>
  <si>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</si>
  <si>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</si>
  <si>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</si>
  <si>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</si>
  <si>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>Higienização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</si>
  <si>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</si>
  <si>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</si>
  <si>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</si>
  <si>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</si>
  <si>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</si>
  <si>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áreas técnicas</t>
  </si>
  <si>
    <t>6.1.5.1.10</t>
  </si>
  <si>
    <t>Banco de dados</t>
  </si>
  <si>
    <t>6.1.5.1.11</t>
  </si>
  <si>
    <t>Direitos autorais</t>
  </si>
  <si>
    <t>6.1.5.1.12</t>
  </si>
  <si>
    <t>Conservação, Higienização e Restauro</t>
  </si>
  <si>
    <t>6.1.5.2</t>
  </si>
  <si>
    <t>Programa de Exposições e Programação Cultural</t>
  </si>
  <si>
    <t>6.1.5.2.1</t>
  </si>
  <si>
    <t>Manutenção da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</si>
  <si>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</si>
  <si>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</si>
  <si>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</si>
  <si>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</si>
  <si>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</si>
  <si>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</si>
  <si>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</si>
  <si>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</si>
  <si>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</si>
  <si>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</si>
  <si>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</si>
  <si>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de Portinari etc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</si>
  <si>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</si>
  <si>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</si>
  <si>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</si>
  <si>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</si>
  <si>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</si>
  <si>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</si>
  <si>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</si>
  <si>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</si>
  <si>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</si>
  <si>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</si>
  <si>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</si>
  <si>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</si>
  <si>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</si>
  <si>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</si>
  <si>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</si>
  <si>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</si>
  <si>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</si>
  <si>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 de Ações de Apoio ao SISEM-SP</t>
  </si>
  <si>
    <t>6.1.5.4.1</t>
  </si>
  <si>
    <t>Ações de formação (oficinas, palestras, estágios etc.)</t>
  </si>
  <si>
    <t>6.1.5.4.2</t>
  </si>
  <si>
    <t>Ações de comunicação (publicações temáticas, exposições em museus fora da capital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</si>
  <si>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</si>
  <si>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</si>
  <si>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</si>
  <si>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</si>
  <si>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</si>
  <si>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</si>
  <si>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</si>
  <si>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</si>
  <si>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</si>
  <si>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</si>
  <si>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</si>
  <si>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</si>
  <si>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</si>
  <si>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</si>
  <si>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</si>
  <si>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</si>
  <si>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</si>
  <si>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</si>
  <si>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</si>
  <si>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</si>
  <si>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6.1.5.6</t>
  </si>
  <si>
    <t>6.1.5.7</t>
  </si>
  <si>
    <t>6.1.6</t>
  </si>
  <si>
    <t>Programa de 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</si>
  <si>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</si>
  <si>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</si>
  <si>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</si>
  <si>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</si>
  <si>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</si>
  <si>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</si>
  <si>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</si>
  <si>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custos de publicidade</t>
  </si>
  <si>
    <t>6.1.6.5</t>
  </si>
  <si>
    <t>Outros (Comunicação visual edifícios, placas etc)</t>
  </si>
  <si>
    <t>6.2</t>
  </si>
  <si>
    <t>Depreciação/Amortização/Exaustão/Baixa de Imobilizado/Doação/
Gratuidade/Provisões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</si>
  <si>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</si>
  <si>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</si>
  <si>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</si>
  <si>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</si>
  <si>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</si>
  <si>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</si>
  <si>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</si>
  <si>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(Doações e gratificações)</t>
  </si>
  <si>
    <t xml:space="preserve">SUPERÁVIT OU DÉFICIT DO EXERCÍCIO 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</si>
  <si>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</si>
  <si>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</si>
  <si>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</si>
  <si>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</si>
  <si>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</si>
  <si>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Moveis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</si>
  <si>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</si>
  <si>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</si>
  <si>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</si>
  <si>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</si>
  <si>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</si>
  <si>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</si>
  <si>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</si>
  <si>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</si>
  <si>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8.7</t>
  </si>
  <si>
    <t>Outros investimentos/imobilizado (Estoque)</t>
  </si>
  <si>
    <t>RECURSOS PÚBLICOS ESPECÍFICOS PARA INVESTIMENTO NO CONTRATO   DE GESTÃO</t>
  </si>
  <si>
    <t>9.1</t>
  </si>
  <si>
    <t>9.2</t>
  </si>
  <si>
    <t>9.3</t>
  </si>
  <si>
    <t>9.4</t>
  </si>
  <si>
    <t>9.5</t>
  </si>
  <si>
    <t>9.6</t>
  </si>
  <si>
    <t>9.7</t>
  </si>
  <si>
    <t>Outros investimentos/imobilizado (especificar)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</si>
  <si>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</si>
  <si>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</si>
  <si>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</si>
  <si>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</si>
  <si>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</si>
  <si>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</si>
  <si>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</si>
  <si>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</si>
  <si>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10.7</t>
  </si>
  <si>
    <t>IV - PROJETOS A EXECUTAR E SALDOS DE RECURSOS VINCULADOS AO CONTRATO DE GESTÃO</t>
  </si>
  <si>
    <t>SALDO PROJETOS A EXECUTAR</t>
  </si>
  <si>
    <t>Precisa ser visado no Manual</t>
  </si>
  <si>
    <t>11.1</t>
  </si>
  <si>
    <t>Saldo anterior Projetos a Executar (contábil)</t>
  </si>
  <si>
    <t>11.2</t>
  </si>
  <si>
    <t>Repasse</t>
  </si>
  <si>
    <t>Lançar repasse e apropriação da despesa</t>
  </si>
  <si>
    <t>11.3</t>
  </si>
  <si>
    <t>Reserva</t>
  </si>
  <si>
    <t>Valor sem rendimento financeiros</t>
  </si>
  <si>
    <t>11.4</t>
  </si>
  <si>
    <t>Contingência</t>
  </si>
  <si>
    <t>11.5</t>
  </si>
  <si>
    <t>Outros (imobilizado)</t>
  </si>
  <si>
    <t>aquisição de obras de arte</t>
  </si>
  <si>
    <t>12</t>
  </si>
  <si>
    <t xml:space="preserve">Recursos incentivados - saldo a ser executado 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</si>
  <si>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</si>
  <si>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</si>
  <si>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</si>
  <si>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</si>
  <si>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</si>
  <si>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</si>
  <si>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RESERVAS: SALDOS</t>
  </si>
  <si>
    <t>13.1</t>
  </si>
  <si>
    <t>Conta de Repasse do Contrato de Gestão</t>
  </si>
  <si>
    <t>13.2</t>
  </si>
  <si>
    <t>Conta de Captação Operacional</t>
  </si>
  <si>
    <t>13.3</t>
  </si>
  <si>
    <t>Conta de Projetos Incentivados</t>
  </si>
  <si>
    <t>13.4</t>
  </si>
  <si>
    <t>Conta de Recurso de Reserva</t>
  </si>
  <si>
    <t>13.5</t>
  </si>
  <si>
    <t>Conta de Recurso de Contingência</t>
  </si>
  <si>
    <t>13.6</t>
  </si>
  <si>
    <t>7. Deficit refere-se a alteração na forma de contabilização dos recursos livres destinados a Pina Contemporânea.</t>
  </si>
  <si>
    <t>4.2.2 - Valor realizado de captação de recursos incentivados foi superado, pois a APAC aumentou em 50% o valor do projeto inscrito na Lei Rouanet para ser executado até o final de 2022.</t>
  </si>
  <si>
    <t>6.1.3.6 - Realização a maior das despesas tibrutarias se deve pelo maior volume de vendas de produtos da loja e album comemorativo, além da alteração no valor do ingresso para visitação ao museu.</t>
  </si>
  <si>
    <t>6.1.5.3.1 - Devido a pandemia da Covid-19 e o não retorno dos atendimentos presenciais não houve despesas com transporte o que representa grande parte do custo da rubrica.</t>
  </si>
  <si>
    <t>6.1.5.3.4 - Com a pademia da Covid-19 e a não relização dos atendimentos presenciais,  a rubrica foi realizada a menor porque grande parte do valor seria despendido com produção de material impresso para oficinas.</t>
  </si>
  <si>
    <t>6.1.6.4 - Recurso não foi totalmente executado pois algumas exposições da programação do museu foram postergadas devido a pandemia da covid-19</t>
  </si>
  <si>
    <t>6.1.2.5 - Realização a maior se deve ao pagamento de plataforma para programa de patronos e eventos. E consultoria para implantação do E-social</t>
  </si>
  <si>
    <t>6.1.5.1.3 - Realização referente endosse de apolice de seguro guarda chuva de obras para transporte.</t>
  </si>
  <si>
    <t>6.1.5.1.12 - Realização de manutenção de acervo necessarios para operação, alguns itens por serem importados tiveram grande variação de valor pela escassez em materia prima.</t>
  </si>
  <si>
    <t>São Paulo, 25 de fevereiro de 2022.</t>
  </si>
  <si>
    <t>Johen Volz</t>
  </si>
  <si>
    <t>Marcelo Costa Dantas</t>
  </si>
  <si>
    <t>Diretor Geral</t>
  </si>
  <si>
    <t>Diretor Adminstrativo Financeiro</t>
  </si>
  <si>
    <t>Renata Melo</t>
  </si>
  <si>
    <t>Coordenadora Financeiro</t>
  </si>
  <si>
    <t>4.2.1 - Realização da receita operacional foi superada devido ao aumento do valor do ingresso para R$ 20,00 e ingresso da exposição OSGEMEOS para R$ 25,00. E para loja foi vendido album comemorativo dos 115 anos da Pinacoteca e aumento nas vendas de produtos em reflexo da exposição OSGEMEOS</t>
  </si>
  <si>
    <t>6.1.4.4 - Embora o escopo de contratação tenha sido o mesmo o preço de mercado oscilou acima do esperado, contando ainda com a saida de seguradoras do mercado que atuam com seguro de patrimonios tombados</t>
  </si>
  <si>
    <t>Outros investimentos/imobilizado (Pina Contemporanea: Implantação)</t>
  </si>
  <si>
    <t>6.1.5.5.3 - O totem foi substituido por outra tecnologia gerando assim uma economia</t>
  </si>
  <si>
    <t>Demais Saldos (Pinacoteca Contemporânea)</t>
  </si>
  <si>
    <t>11.6</t>
  </si>
  <si>
    <t>Pinacoteca Contemporanea</t>
  </si>
  <si>
    <t>6.1.4.1 / 6.1.4.2 / 6.1.4.6 - Realização maior do que o previsto refere-se à despesas vinculadas aos projetos executivos da Pinacoteca Contemporânea com recursos do CG e PRONAC.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</si>
</sst>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_ ;[Red]\-#,##0.0\ "/>
    <numFmt numFmtId="166" formatCode="#,##0_ ;[Red]\-#,##0\ "/>
    <numFmt numFmtId="167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name val="Calibr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256">
    <xf numFmtId="0" fontId="0" fillId="0" borderId="0" xfId="0"/>
    <xf numFmtId="0" fontId="3" fillId="2" borderId="0" xfId="3" applyFont="1" applyFill="1"/>
    <xf numFmtId="43" fontId="3" fillId="0" borderId="0" xfId="1" applyFont="1" applyFill="1"/>
    <xf numFmtId="43" fontId="3" fillId="0" borderId="0" xfId="1" applyFont="1" applyFill="1" applyAlignment="1"/>
    <xf numFmtId="164" fontId="3" fillId="0" borderId="0" xfId="1" applyNumberFormat="1" applyFont="1" applyFill="1" applyAlignment="1">
      <alignment horizontal="center"/>
    </xf>
    <xf numFmtId="0" fontId="4" fillId="2" borderId="0" xfId="3" applyFont="1" applyFill="1"/>
    <xf numFmtId="43" fontId="3" fillId="0" borderId="0" xfId="1" applyFont="1" applyFill="1" applyBorder="1"/>
    <xf numFmtId="0" fontId="5" fillId="2" borderId="0" xfId="3" applyFont="1" applyFill="1"/>
    <xf numFmtId="43" fontId="5" fillId="0" borderId="1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6" fillId="0" borderId="0" xfId="1" applyFont="1" applyBorder="1" applyAlignment="1"/>
    <xf numFmtId="43" fontId="5" fillId="0" borderId="1" xfId="1" applyFont="1" applyFill="1" applyBorder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 indent="2"/>
    </xf>
    <xf numFmtId="164" fontId="3" fillId="0" borderId="0" xfId="1" applyNumberFormat="1" applyFont="1" applyFill="1" applyBorder="1" applyAlignment="1">
      <alignment horizontal="center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43" fontId="3" fillId="0" borderId="5" xfId="1" applyFont="1" applyFill="1" applyBorder="1"/>
    <xf numFmtId="43" fontId="5" fillId="0" borderId="4" xfId="1" applyFont="1" applyFill="1" applyBorder="1" applyAlignment="1">
      <alignment horizontal="left" indent="2"/>
    </xf>
    <xf numFmtId="43" fontId="6" fillId="0" borderId="6" xfId="1" applyFont="1" applyBorder="1" applyAlignment="1"/>
    <xf numFmtId="0" fontId="6" fillId="0" borderId="5" xfId="0" applyFont="1" applyBorder="1"/>
    <xf numFmtId="43" fontId="5" fillId="0" borderId="1" xfId="1" quotePrefix="1" applyFont="1" applyFill="1" applyBorder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9" fillId="2" borderId="0" xfId="3" applyFont="1" applyFill="1"/>
    <xf numFmtId="43" fontId="5" fillId="0" borderId="0" xfId="1" applyFont="1" applyFill="1"/>
    <xf numFmtId="43" fontId="5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right" vertical="center"/>
    </xf>
    <xf numFmtId="165" fontId="5" fillId="0" borderId="14" xfId="3" applyNumberFormat="1" applyFont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indent="2"/>
    </xf>
    <xf numFmtId="0" fontId="9" fillId="0" borderId="6" xfId="3" applyFont="1" applyBorder="1" applyAlignment="1">
      <alignment horizontal="left" vertical="center"/>
    </xf>
    <xf numFmtId="43" fontId="10" fillId="0" borderId="7" xfId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166" fontId="5" fillId="0" borderId="14" xfId="2" applyNumberFormat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 indent="1"/>
    </xf>
    <xf numFmtId="43" fontId="3" fillId="0" borderId="7" xfId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165" fontId="5" fillId="0" borderId="1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43" fontId="10" fillId="0" borderId="14" xfId="1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65" fontId="5" fillId="0" borderId="0" xfId="3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>
      <alignment horizontal="center"/>
    </xf>
    <xf numFmtId="165" fontId="3" fillId="0" borderId="0" xfId="3" applyNumberFormat="1" applyFont="1" applyAlignment="1">
      <alignment horizontal="center"/>
    </xf>
    <xf numFmtId="43" fontId="6" fillId="0" borderId="7" xfId="1" applyFont="1" applyFill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5" fillId="0" borderId="14" xfId="1" applyFont="1" applyFill="1" applyBorder="1" applyAlignment="1">
      <alignment horizontal="right"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1"/>
    </xf>
    <xf numFmtId="43" fontId="10" fillId="0" borderId="9" xfId="1" applyFont="1" applyFill="1" applyBorder="1" applyAlignment="1">
      <alignment vertical="center"/>
    </xf>
    <xf numFmtId="43" fontId="3" fillId="0" borderId="14" xfId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 wrapText="1"/>
    </xf>
    <xf numFmtId="0" fontId="12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5" fillId="0" borderId="8" xfId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vertical="center"/>
    </xf>
    <xf numFmtId="43" fontId="5" fillId="0" borderId="1" xfId="1" applyFont="1" applyFill="1" applyBorder="1" applyAlignment="1">
      <alignment horizontal="right" vertical="center"/>
    </xf>
    <xf numFmtId="0" fontId="3" fillId="2" borderId="0" xfId="3" applyFont="1" applyFill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166" fontId="5" fillId="0" borderId="1" xfId="2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167" fontId="4" fillId="2" borderId="0" xfId="3" applyNumberFormat="1" applyFont="1" applyFill="1" applyAlignment="1">
      <alignment vertical="center"/>
    </xf>
    <xf numFmtId="0" fontId="3" fillId="2" borderId="1" xfId="3" applyFont="1" applyFill="1" applyBorder="1" applyAlignment="1">
      <alignment horizontal="left" vertical="center"/>
    </xf>
    <xf numFmtId="0" fontId="13" fillId="2" borderId="6" xfId="3" applyFont="1" applyFill="1" applyBorder="1" applyAlignment="1">
      <alignment horizontal="left" vertical="center" wrapText="1" indent="1"/>
    </xf>
    <xf numFmtId="43" fontId="5" fillId="0" borderId="8" xfId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2"/>
    </xf>
    <xf numFmtId="43" fontId="3" fillId="0" borderId="8" xfId="1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left" vertical="center" wrapText="1" indent="1"/>
    </xf>
    <xf numFmtId="0" fontId="4" fillId="0" borderId="0" xfId="3" applyFont="1" applyAlignment="1">
      <alignment vertical="center"/>
    </xf>
    <xf numFmtId="43" fontId="5" fillId="0" borderId="6" xfId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vertical="center" wrapText="1"/>
    </xf>
    <xf numFmtId="0" fontId="13" fillId="0" borderId="6" xfId="3" applyFont="1" applyBorder="1" applyAlignment="1">
      <alignment horizontal="left" vertical="center" wrapText="1" indent="1"/>
    </xf>
    <xf numFmtId="0" fontId="4" fillId="2" borderId="4" xfId="3" applyFont="1" applyFill="1" applyBorder="1" applyAlignment="1">
      <alignment vertical="center"/>
    </xf>
    <xf numFmtId="0" fontId="3" fillId="2" borderId="6" xfId="4" applyFont="1" applyFill="1" applyBorder="1" applyAlignment="1">
      <alignment horizontal="left" vertical="center" wrapText="1" indent="2"/>
    </xf>
    <xf numFmtId="0" fontId="3" fillId="2" borderId="1" xfId="4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3" fillId="0" borderId="6" xfId="4" applyFont="1" applyFill="1" applyBorder="1" applyAlignment="1">
      <alignment horizontal="left" vertical="center" wrapText="1" indent="2"/>
    </xf>
    <xf numFmtId="0" fontId="16" fillId="0" borderId="4" xfId="0" applyFont="1" applyBorder="1" applyAlignment="1">
      <alignment vertical="center" wrapText="1"/>
    </xf>
    <xf numFmtId="0" fontId="3" fillId="2" borderId="4" xfId="4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/>
    </xf>
    <xf numFmtId="0" fontId="13" fillId="2" borderId="1" xfId="4" applyFont="1" applyFill="1" applyBorder="1" applyAlignment="1">
      <alignment horizontal="left" vertical="center"/>
    </xf>
    <xf numFmtId="43" fontId="5" fillId="0" borderId="7" xfId="1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 indent="1"/>
    </xf>
    <xf numFmtId="0" fontId="3" fillId="0" borderId="4" xfId="4" applyFont="1" applyFill="1" applyBorder="1" applyAlignment="1">
      <alignment vertical="center" wrapText="1"/>
    </xf>
    <xf numFmtId="0" fontId="3" fillId="0" borderId="6" xfId="4" applyFont="1" applyFill="1" applyBorder="1" applyAlignment="1">
      <alignment horizontal="left" vertical="center" wrapText="1" indent="1"/>
    </xf>
    <xf numFmtId="0" fontId="3" fillId="2" borderId="6" xfId="3" applyFont="1" applyFill="1" applyBorder="1" applyAlignment="1">
      <alignment vertical="center" wrapText="1"/>
    </xf>
    <xf numFmtId="43" fontId="3" fillId="0" borderId="6" xfId="1" applyFont="1" applyFill="1" applyBorder="1" applyAlignment="1">
      <alignment vertical="center"/>
    </xf>
    <xf numFmtId="166" fontId="5" fillId="0" borderId="1" xfId="3" applyNumberFormat="1" applyFont="1" applyBorder="1" applyAlignment="1">
      <alignment horizontal="center" vertical="center"/>
    </xf>
    <xf numFmtId="43" fontId="6" fillId="0" borderId="6" xfId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0" fontId="3" fillId="0" borderId="6" xfId="3" applyFont="1" applyBorder="1" applyAlignment="1">
      <alignment vertical="center" wrapText="1"/>
    </xf>
    <xf numFmtId="43" fontId="10" fillId="0" borderId="7" xfId="1" applyFont="1" applyFill="1" applyBorder="1"/>
    <xf numFmtId="0" fontId="3" fillId="2" borderId="17" xfId="3" applyFont="1" applyFill="1" applyBorder="1" applyAlignment="1">
      <alignment horizontal="left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165" fontId="5" fillId="0" borderId="6" xfId="3" applyNumberFormat="1" applyFont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left"/>
    </xf>
    <xf numFmtId="0" fontId="3" fillId="2" borderId="17" xfId="3" applyFont="1" applyFill="1" applyBorder="1"/>
    <xf numFmtId="43" fontId="10" fillId="0" borderId="17" xfId="1" applyFont="1" applyFill="1" applyBorder="1"/>
    <xf numFmtId="43" fontId="3" fillId="0" borderId="17" xfId="1" applyFont="1" applyFill="1" applyBorder="1" applyAlignment="1"/>
    <xf numFmtId="164" fontId="3" fillId="0" borderId="17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3" fillId="0" borderId="0" xfId="1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 wrapText="1"/>
    </xf>
    <xf numFmtId="43" fontId="10" fillId="0" borderId="4" xfId="1" applyFont="1" applyFill="1" applyBorder="1"/>
    <xf numFmtId="165" fontId="3" fillId="0" borderId="5" xfId="3" applyNumberFormat="1" applyFont="1" applyBorder="1" applyAlignment="1">
      <alignment horizontal="center"/>
    </xf>
    <xf numFmtId="43" fontId="6" fillId="0" borderId="7" xfId="1" applyFont="1" applyFill="1" applyBorder="1" applyAlignment="1"/>
    <xf numFmtId="43" fontId="5" fillId="0" borderId="5" xfId="1" applyFont="1" applyFill="1" applyBorder="1"/>
    <xf numFmtId="43" fontId="5" fillId="0" borderId="18" xfId="1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43" fontId="3" fillId="0" borderId="18" xfId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165" fontId="5" fillId="0" borderId="1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5" fontId="5" fillId="0" borderId="1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43" fontId="3" fillId="0" borderId="5" xfId="1" applyFont="1" applyFill="1" applyBorder="1" applyAlignment="1"/>
    <xf numFmtId="43" fontId="3" fillId="0" borderId="1" xfId="1" applyFont="1" applyFill="1" applyBorder="1"/>
    <xf numFmtId="0" fontId="4" fillId="2" borderId="0" xfId="3" applyFont="1" applyFill="1" applyAlignment="1">
      <alignment horizontal="center"/>
    </xf>
    <xf numFmtId="166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0" fontId="6" fillId="3" borderId="15" xfId="3" applyFont="1" applyFill="1" applyBorder="1" applyAlignment="1">
      <alignment horizontal="left" vertical="center"/>
    </xf>
    <xf numFmtId="43" fontId="5" fillId="0" borderId="13" xfId="1" applyFont="1" applyFill="1" applyBorder="1"/>
    <xf numFmtId="165" fontId="5" fillId="0" borderId="0" xfId="3" applyNumberFormat="1" applyFont="1" applyAlignment="1">
      <alignment horizontal="left" vertical="center" wrapText="1"/>
    </xf>
    <xf numFmtId="0" fontId="3" fillId="2" borderId="9" xfId="3" applyFont="1" applyFill="1" applyBorder="1"/>
    <xf numFmtId="0" fontId="3" fillId="2" borderId="10" xfId="3" applyFont="1" applyFill="1" applyBorder="1"/>
    <xf numFmtId="43" fontId="10" fillId="0" borderId="11" xfId="1" applyFont="1" applyFill="1" applyBorder="1"/>
    <xf numFmtId="43" fontId="10" fillId="0" borderId="9" xfId="1" applyFont="1" applyFill="1" applyBorder="1"/>
    <xf numFmtId="43" fontId="3" fillId="0" borderId="1" xfId="1" applyFont="1" applyBorder="1"/>
    <xf numFmtId="43" fontId="3" fillId="0" borderId="19" xfId="1" applyFont="1" applyFill="1" applyBorder="1"/>
    <xf numFmtId="165" fontId="5" fillId="0" borderId="14" xfId="2" applyNumberFormat="1" applyFont="1" applyFill="1" applyBorder="1" applyAlignment="1">
      <alignment horizontal="right"/>
    </xf>
    <xf numFmtId="43" fontId="5" fillId="0" borderId="8" xfId="1" applyFont="1" applyFill="1" applyBorder="1"/>
    <xf numFmtId="165" fontId="5" fillId="0" borderId="0" xfId="2" applyNumberFormat="1" applyFont="1" applyFill="1" applyBorder="1" applyAlignment="1">
      <alignment horizontal="left"/>
    </xf>
    <xf numFmtId="43" fontId="3" fillId="0" borderId="5" xfId="1" applyFont="1" applyBorder="1"/>
    <xf numFmtId="0" fontId="3" fillId="2" borderId="20" xfId="3" applyFont="1" applyFill="1" applyBorder="1"/>
    <xf numFmtId="43" fontId="10" fillId="0" borderId="21" xfId="1" applyFont="1" applyFill="1" applyBorder="1"/>
    <xf numFmtId="43" fontId="3" fillId="0" borderId="22" xfId="1" applyFont="1" applyFill="1" applyBorder="1"/>
    <xf numFmtId="165" fontId="5" fillId="0" borderId="23" xfId="2" applyNumberFormat="1" applyFont="1" applyFill="1" applyBorder="1" applyAlignment="1">
      <alignment horizontal="right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left" vertic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43" fontId="3" fillId="0" borderId="10" xfId="1" applyFont="1" applyFill="1" applyBorder="1"/>
    <xf numFmtId="43" fontId="3" fillId="0" borderId="13" xfId="1" applyFont="1" applyFill="1" applyBorder="1"/>
    <xf numFmtId="0" fontId="0" fillId="0" borderId="0" xfId="0" applyAlignment="1">
      <alignment horizontal="left"/>
    </xf>
    <xf numFmtId="43" fontId="3" fillId="0" borderId="8" xfId="1" applyFont="1" applyFill="1" applyBorder="1"/>
    <xf numFmtId="0" fontId="10" fillId="2" borderId="0" xfId="0" applyFont="1" applyFill="1" applyAlignment="1">
      <alignment horizontal="left"/>
    </xf>
    <xf numFmtId="43" fontId="10" fillId="0" borderId="0" xfId="1" applyFont="1" applyFill="1" applyBorder="1"/>
    <xf numFmtId="43" fontId="5" fillId="0" borderId="0" xfId="1" applyFont="1" applyFill="1" applyBorder="1"/>
    <xf numFmtId="166" fontId="5" fillId="0" borderId="0" xfId="1" applyNumberFormat="1" applyFont="1" applyFill="1" applyBorder="1"/>
    <xf numFmtId="0" fontId="17" fillId="0" borderId="0" xfId="0" applyFont="1"/>
    <xf numFmtId="167" fontId="3" fillId="0" borderId="0" xfId="3" applyNumberFormat="1" applyFont="1"/>
    <xf numFmtId="43" fontId="4" fillId="2" borderId="0" xfId="3" applyNumberFormat="1" applyFont="1" applyFill="1" applyAlignment="1">
      <alignment vertical="center"/>
    </xf>
    <xf numFmtId="43" fontId="6" fillId="0" borderId="24" xfId="1" applyFont="1" applyFill="1" applyBorder="1" applyAlignment="1">
      <alignment vertical="center"/>
    </xf>
    <xf numFmtId="43" fontId="4" fillId="2" borderId="0" xfId="1" applyFont="1" applyFill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0" fontId="3" fillId="2" borderId="6" xfId="3" applyFont="1" applyFill="1" applyBorder="1" applyAlignment="1">
      <alignment wrapText="1"/>
    </xf>
    <xf numFmtId="43" fontId="3" fillId="0" borderId="5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5" fillId="0" borderId="18" xfId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 indent="2"/>
    </xf>
    <xf numFmtId="0" fontId="9" fillId="0" borderId="5" xfId="3" applyFont="1" applyBorder="1" applyAlignment="1">
      <alignment horizontal="left" vertical="center" wrapText="1" indent="2"/>
    </xf>
    <xf numFmtId="0" fontId="5" fillId="4" borderId="4" xfId="3" applyFont="1" applyFill="1" applyBorder="1" applyAlignment="1">
      <alignment horizontal="lef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</cellXfs>
  <cellStyles count="5">
    <cellStyle name="Normal" xfId="0" builtinId="0"/>
    <cellStyle name="Normal 2" xfId="3" xr:uid="{9DB43A73-6111-4446-BB64-19C6EECDB0C3}"/>
    <cellStyle name="Normal 2 2" xfId="4" xr:uid="{DA64D6F8-EB48-4524-AD05-E467293CD502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5E3D48-3B41-4473-9CB1-62FFC6953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A104-AF08-4141-AB55-9F6A05E304E3}">
  <sheetPr>
    <tabColor theme="4" tint="-0.249977111117893"/>
  </sheetPr>
  <dimension ref="A1:M233"/>
  <sheetViews>
    <sheetView showGridLines="0" tabSelected="1" view="pageBreakPreview" topLeftCell="A217" zoomScale="91" zoomScaleNormal="100" zoomScaleSheetLayoutView="91" zoomScalePageLayoutView="72" workbookViewId="0">
      <selection activeCell="D32" sqref="D32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5.4257812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0" width="47.7109375" style="4" customWidth="1"/>
    <col min="11" max="11" width="11.140625" style="5" bestFit="1" customWidth="1"/>
    <col min="12" max="16384" width="9.140625" style="5"/>
  </cols>
  <sheetData>
    <row r="1" spans="1:10" ht="12" customHeight="1" x14ac:dyDescent="0.2"/>
    <row r="2" spans="1:10" ht="12" customHeight="1" x14ac:dyDescent="0.2"/>
    <row r="3" spans="1:10" ht="12" customHeight="1" x14ac:dyDescent="0.2"/>
    <row r="4" spans="1:10" ht="12" customHeight="1" x14ac:dyDescent="0.2">
      <c r="F4" s="6"/>
    </row>
    <row r="5" spans="1:10" ht="15" customHeight="1" x14ac:dyDescent="0.2">
      <c r="A5" s="7" t="s">
        <v>0</v>
      </c>
      <c r="D5" s="8" t="s">
        <v>1</v>
      </c>
      <c r="E5" s="9"/>
      <c r="F5" s="10" t="s">
        <v>2</v>
      </c>
      <c r="G5" s="11" t="s">
        <v>3</v>
      </c>
      <c r="H5" s="10"/>
      <c r="I5" s="12"/>
      <c r="J5" s="13"/>
    </row>
    <row r="6" spans="1:10" ht="2.1" customHeight="1" x14ac:dyDescent="0.2">
      <c r="A6" s="7"/>
      <c r="D6" s="14"/>
      <c r="E6" s="15"/>
      <c r="F6" s="3"/>
      <c r="G6" s="16"/>
      <c r="J6" s="17"/>
    </row>
    <row r="7" spans="1:10" ht="15" customHeight="1" x14ac:dyDescent="0.2">
      <c r="A7" s="18" t="s">
        <v>4</v>
      </c>
      <c r="B7" s="19"/>
      <c r="C7" s="20"/>
      <c r="D7" s="21"/>
      <c r="E7" s="6"/>
      <c r="F7" s="10" t="s">
        <v>5</v>
      </c>
      <c r="G7" s="22" t="s">
        <v>6</v>
      </c>
      <c r="H7" s="23"/>
      <c r="I7" s="24"/>
      <c r="J7" s="13"/>
    </row>
    <row r="8" spans="1:10" ht="2.1" customHeight="1" x14ac:dyDescent="0.2">
      <c r="A8" s="12"/>
      <c r="D8" s="21"/>
      <c r="E8" s="6"/>
      <c r="F8" s="6"/>
    </row>
    <row r="9" spans="1:10" ht="15" customHeight="1" x14ac:dyDescent="0.2">
      <c r="A9" s="12" t="s">
        <v>7</v>
      </c>
      <c r="D9" s="25" t="s">
        <v>8</v>
      </c>
      <c r="E9" s="26"/>
      <c r="F9" s="26"/>
    </row>
    <row r="10" spans="1:10" ht="5.0999999999999996" customHeight="1" x14ac:dyDescent="0.2"/>
    <row r="11" spans="1:10" s="28" customFormat="1" ht="20.100000000000001" customHeight="1" x14ac:dyDescent="0.25">
      <c r="A11" s="243" t="s">
        <v>9</v>
      </c>
      <c r="B11" s="243"/>
      <c r="C11" s="243"/>
      <c r="D11" s="243"/>
      <c r="E11" s="243"/>
      <c r="F11" s="243"/>
      <c r="G11" s="243"/>
      <c r="H11" s="243"/>
      <c r="I11" s="243"/>
      <c r="J11" s="27"/>
    </row>
    <row r="12" spans="1:10" s="28" customFormat="1" ht="15" customHeight="1" x14ac:dyDescent="0.25">
      <c r="A12" s="29"/>
      <c r="B12" s="29"/>
      <c r="C12" s="29"/>
      <c r="D12" s="30"/>
      <c r="E12" s="30"/>
      <c r="F12" s="30"/>
      <c r="G12" s="30"/>
      <c r="H12" s="30"/>
      <c r="I12" s="29"/>
      <c r="J12" s="29"/>
    </row>
    <row r="13" spans="1:10" ht="13.5" customHeight="1" x14ac:dyDescent="0.2">
      <c r="A13" s="31" t="s">
        <v>10</v>
      </c>
      <c r="D13" s="32"/>
      <c r="E13" s="32"/>
      <c r="F13" s="32"/>
    </row>
    <row r="14" spans="1:10" ht="15" customHeight="1" x14ac:dyDescent="0.2">
      <c r="A14" s="31"/>
      <c r="D14" s="32"/>
      <c r="E14" s="32"/>
      <c r="F14" s="32"/>
    </row>
    <row r="15" spans="1:10" s="38" customFormat="1" ht="27" customHeight="1" x14ac:dyDescent="0.2">
      <c r="A15" s="1"/>
      <c r="B15" s="244" t="s">
        <v>11</v>
      </c>
      <c r="C15" s="245"/>
      <c r="D15" s="33" t="s">
        <v>12</v>
      </c>
      <c r="E15" s="34" t="s">
        <v>13</v>
      </c>
      <c r="F15" s="35" t="s">
        <v>14</v>
      </c>
      <c r="G15" s="34" t="s">
        <v>15</v>
      </c>
      <c r="H15" s="36" t="s">
        <v>16</v>
      </c>
      <c r="I15" s="37" t="s">
        <v>17</v>
      </c>
    </row>
    <row r="16" spans="1:10" s="45" customFormat="1" ht="15" customHeight="1" x14ac:dyDescent="0.25">
      <c r="A16" s="39">
        <v>1</v>
      </c>
      <c r="B16" s="246" t="s">
        <v>18</v>
      </c>
      <c r="C16" s="247"/>
      <c r="D16" s="40">
        <f>D17+D18+D25</f>
        <v>21245380.219999999</v>
      </c>
      <c r="E16" s="41">
        <f>E17+E18+E25</f>
        <v>7386978</v>
      </c>
      <c r="F16" s="34">
        <f>F17+F18+F25</f>
        <v>6800000</v>
      </c>
      <c r="G16" s="42">
        <f>G17+G18+G25</f>
        <v>6590130.2199999997</v>
      </c>
      <c r="H16" s="43"/>
      <c r="I16" s="44"/>
    </row>
    <row r="17" spans="1:9" s="45" customFormat="1" ht="15" customHeight="1" x14ac:dyDescent="0.25">
      <c r="A17" s="46" t="s">
        <v>19</v>
      </c>
      <c r="B17" s="47" t="s">
        <v>20</v>
      </c>
      <c r="C17" s="48"/>
      <c r="D17" s="49">
        <v>20986978</v>
      </c>
      <c r="E17" s="50">
        <v>7386978</v>
      </c>
      <c r="F17" s="51">
        <v>6800000</v>
      </c>
      <c r="G17" s="51">
        <v>6800000</v>
      </c>
      <c r="H17" s="43">
        <f>SUM(E17:G17)</f>
        <v>20986978</v>
      </c>
      <c r="I17" s="52">
        <f>H17/D17*100</f>
        <v>100</v>
      </c>
    </row>
    <row r="18" spans="1:9" s="45" customFormat="1" ht="15" customHeight="1" x14ac:dyDescent="0.25">
      <c r="A18" s="46" t="s">
        <v>21</v>
      </c>
      <c r="B18" s="47" t="s">
        <v>22</v>
      </c>
      <c r="C18" s="48"/>
      <c r="D18" s="53">
        <f>SUM(D19:D21)</f>
        <v>-209869.78</v>
      </c>
      <c r="E18" s="54">
        <f>SUM(E19:E21)</f>
        <v>0</v>
      </c>
      <c r="F18" s="55">
        <f t="shared" ref="F18:G18" si="0">SUM(F19:F21)</f>
        <v>0</v>
      </c>
      <c r="G18" s="55">
        <f t="shared" si="0"/>
        <v>-209869.78</v>
      </c>
      <c r="H18" s="43">
        <f>SUM(H19:H21)</f>
        <v>-209869.78</v>
      </c>
      <c r="I18" s="52">
        <f>IFERROR(H18/D18*100,"0")</f>
        <v>100</v>
      </c>
    </row>
    <row r="19" spans="1:9" s="45" customFormat="1" ht="15" customHeight="1" x14ac:dyDescent="0.25">
      <c r="A19" s="46" t="s">
        <v>23</v>
      </c>
      <c r="B19" s="57"/>
      <c r="C19" s="58" t="s">
        <v>24</v>
      </c>
      <c r="D19" s="59">
        <v>0</v>
      </c>
      <c r="E19" s="60">
        <v>0</v>
      </c>
      <c r="F19" s="61">
        <v>0</v>
      </c>
      <c r="G19" s="61">
        <v>0</v>
      </c>
      <c r="H19" s="56">
        <f>SUM(E19:G19)</f>
        <v>0</v>
      </c>
      <c r="I19" s="52" t="str">
        <f>IFERROR(H19/D19*100,"0")</f>
        <v>0</v>
      </c>
    </row>
    <row r="20" spans="1:9" s="45" customFormat="1" ht="15" customHeight="1" x14ac:dyDescent="0.25">
      <c r="A20" s="46" t="s">
        <v>25</v>
      </c>
      <c r="B20" s="57"/>
      <c r="C20" s="58" t="s">
        <v>26</v>
      </c>
      <c r="D20" s="59">
        <v>0</v>
      </c>
      <c r="E20" s="60">
        <v>0</v>
      </c>
      <c r="F20" s="61">
        <v>0</v>
      </c>
      <c r="G20" s="61">
        <v>0</v>
      </c>
      <c r="H20" s="56">
        <f>SUM(E20:G20)</f>
        <v>0</v>
      </c>
      <c r="I20" s="52" t="str">
        <f>IFERROR(H20/D20*100,"0")</f>
        <v>0</v>
      </c>
    </row>
    <row r="21" spans="1:9" s="45" customFormat="1" x14ac:dyDescent="0.25">
      <c r="A21" s="46" t="s">
        <v>27</v>
      </c>
      <c r="B21" s="57"/>
      <c r="C21" s="58" t="s">
        <v>28</v>
      </c>
      <c r="D21" s="62">
        <v>-209869.78</v>
      </c>
      <c r="E21" s="60">
        <v>0</v>
      </c>
      <c r="F21" s="61">
        <v>0</v>
      </c>
      <c r="G21" s="61">
        <v>-209869.78</v>
      </c>
      <c r="H21" s="43">
        <f>SUM(E21:G21)</f>
        <v>-209869.78</v>
      </c>
      <c r="I21" s="52">
        <f>IFERROR(H21/D21*100, "0")</f>
        <v>100</v>
      </c>
    </row>
    <row r="22" spans="1:9" s="45" customFormat="1" x14ac:dyDescent="0.25">
      <c r="A22" s="46" t="s">
        <v>29</v>
      </c>
      <c r="B22" s="57"/>
      <c r="C22" s="58" t="s">
        <v>30</v>
      </c>
      <c r="D22" s="63"/>
      <c r="E22" s="64"/>
      <c r="F22" s="61"/>
      <c r="G22" s="61"/>
      <c r="H22" s="43"/>
      <c r="I22" s="52"/>
    </row>
    <row r="23" spans="1:9" s="45" customFormat="1" x14ac:dyDescent="0.25">
      <c r="A23" s="46" t="s">
        <v>31</v>
      </c>
      <c r="B23" s="57"/>
      <c r="C23" s="58" t="s">
        <v>32</v>
      </c>
      <c r="D23" s="63"/>
      <c r="E23" s="64"/>
      <c r="F23" s="61"/>
      <c r="G23" s="61"/>
      <c r="H23" s="43"/>
      <c r="I23" s="52"/>
    </row>
    <row r="24" spans="1:9" s="45" customFormat="1" x14ac:dyDescent="0.25">
      <c r="A24" s="46" t="s">
        <v>33</v>
      </c>
      <c r="B24" s="57"/>
      <c r="C24" s="58" t="s">
        <v>34</v>
      </c>
      <c r="D24" s="63"/>
      <c r="E24" s="64"/>
      <c r="F24" s="61"/>
      <c r="G24" s="61"/>
      <c r="H24" s="43"/>
      <c r="I24" s="52"/>
    </row>
    <row r="25" spans="1:9" s="45" customFormat="1" ht="15" customHeight="1" x14ac:dyDescent="0.25">
      <c r="A25" s="46" t="s">
        <v>35</v>
      </c>
      <c r="B25" s="47" t="s">
        <v>36</v>
      </c>
      <c r="C25" s="48"/>
      <c r="D25" s="65">
        <f>D26</f>
        <v>468272</v>
      </c>
      <c r="E25" s="66">
        <f>E18</f>
        <v>0</v>
      </c>
      <c r="F25" s="67">
        <f>F18</f>
        <v>0</v>
      </c>
      <c r="G25" s="67">
        <v>0</v>
      </c>
      <c r="H25" s="43">
        <f>SUM(E25:G25)</f>
        <v>0</v>
      </c>
      <c r="I25" s="52">
        <f>H25/D25*100</f>
        <v>0</v>
      </c>
    </row>
    <row r="26" spans="1:9" s="45" customFormat="1" ht="15" customHeight="1" x14ac:dyDescent="0.25">
      <c r="A26" s="46" t="s">
        <v>37</v>
      </c>
      <c r="B26" s="68"/>
      <c r="C26" s="58" t="s">
        <v>38</v>
      </c>
      <c r="D26" s="63">
        <v>468272</v>
      </c>
      <c r="E26" s="66"/>
      <c r="F26" s="69"/>
      <c r="G26" s="69"/>
      <c r="H26" s="43"/>
      <c r="I26" s="70"/>
    </row>
    <row r="27" spans="1:9" s="45" customFormat="1" ht="15" customHeight="1" x14ac:dyDescent="0.25">
      <c r="A27" s="39">
        <v>2</v>
      </c>
      <c r="B27" s="71" t="s">
        <v>39</v>
      </c>
      <c r="C27" s="72"/>
      <c r="D27" s="73">
        <f>D28</f>
        <v>55000000</v>
      </c>
      <c r="E27" s="66">
        <v>0</v>
      </c>
      <c r="F27" s="69">
        <f>F28</f>
        <v>0</v>
      </c>
      <c r="G27" s="69">
        <f>G28</f>
        <v>55000000</v>
      </c>
      <c r="H27" s="43">
        <f>SUM(E27:G27)</f>
        <v>55000000</v>
      </c>
      <c r="I27" s="52">
        <f>H27/D27*100</f>
        <v>100</v>
      </c>
    </row>
    <row r="28" spans="1:9" s="45" customFormat="1" ht="15" customHeight="1" x14ac:dyDescent="0.25">
      <c r="A28" s="46" t="s">
        <v>40</v>
      </c>
      <c r="B28" s="47" t="s">
        <v>41</v>
      </c>
      <c r="C28" s="48"/>
      <c r="D28" s="65">
        <v>55000000</v>
      </c>
      <c r="E28" s="66">
        <v>0</v>
      </c>
      <c r="F28" s="231">
        <v>0</v>
      </c>
      <c r="G28" s="69">
        <v>55000000</v>
      </c>
      <c r="H28" s="43">
        <f>SUM(E28:G28)</f>
        <v>55000000</v>
      </c>
      <c r="I28" s="52">
        <f>H28/D28*100</f>
        <v>100</v>
      </c>
    </row>
    <row r="29" spans="1:9" s="45" customFormat="1" ht="15" customHeight="1" x14ac:dyDescent="0.25">
      <c r="A29" s="74">
        <v>3</v>
      </c>
      <c r="B29" s="68" t="s">
        <v>42</v>
      </c>
      <c r="C29" s="75"/>
      <c r="D29" s="65">
        <f>D30+D35</f>
        <v>45989826.079999998</v>
      </c>
      <c r="E29" s="66">
        <f>E30+E35</f>
        <v>5943743.7400000002</v>
      </c>
      <c r="F29" s="67">
        <f t="shared" ref="F29:G29" si="1">F30+F35</f>
        <v>4124316.14</v>
      </c>
      <c r="G29" s="66">
        <f t="shared" si="1"/>
        <v>8821829.4299999997</v>
      </c>
      <c r="H29" s="43">
        <f>SUM(E29:G29)</f>
        <v>18889889.310000002</v>
      </c>
      <c r="I29" s="52">
        <f>IFERROR(H29/D29*100,"0")</f>
        <v>41.074061200276674</v>
      </c>
    </row>
    <row r="30" spans="1:9" s="45" customFormat="1" ht="15" customHeight="1" x14ac:dyDescent="0.25">
      <c r="A30" s="74" t="s">
        <v>43</v>
      </c>
      <c r="B30" s="47" t="s">
        <v>44</v>
      </c>
      <c r="C30" s="48"/>
      <c r="D30" s="65">
        <f>SUM(D31:D34)</f>
        <v>11559432.08</v>
      </c>
      <c r="E30" s="66">
        <f>SUM(E31:E34)</f>
        <v>4943743.74</v>
      </c>
      <c r="F30" s="67">
        <f t="shared" ref="F30:G30" si="2">SUM(F31:F34)</f>
        <v>4124316.14</v>
      </c>
      <c r="G30" s="66">
        <f t="shared" si="2"/>
        <v>8821829.4299999997</v>
      </c>
      <c r="H30" s="43">
        <f>SUM(H31:H34)</f>
        <v>17889889.310000002</v>
      </c>
      <c r="I30" s="52">
        <f t="shared" ref="I30:I34" si="3">IFERROR(H30/D30*100,"0")</f>
        <v>154.76443121243724</v>
      </c>
    </row>
    <row r="31" spans="1:9" s="45" customFormat="1" ht="45" customHeight="1" x14ac:dyDescent="0.25">
      <c r="A31" s="46" t="s">
        <v>45</v>
      </c>
      <c r="B31" s="68"/>
      <c r="C31" s="58" t="s">
        <v>46</v>
      </c>
      <c r="D31" s="63">
        <v>1645266</v>
      </c>
      <c r="E31" s="64">
        <v>1059843.74</v>
      </c>
      <c r="F31" s="76">
        <v>2455218.89</v>
      </c>
      <c r="G31" s="61">
        <v>1494494.95</v>
      </c>
      <c r="H31" s="43">
        <f t="shared" ref="H31:H33" si="4">SUM(E31:G31)</f>
        <v>5009557.58</v>
      </c>
      <c r="I31" s="52">
        <f t="shared" si="3"/>
        <v>304.48314011229797</v>
      </c>
    </row>
    <row r="32" spans="1:9" s="45" customFormat="1" ht="15" customHeight="1" x14ac:dyDescent="0.25">
      <c r="A32" s="46" t="s">
        <v>47</v>
      </c>
      <c r="B32" s="68"/>
      <c r="C32" s="58" t="s">
        <v>48</v>
      </c>
      <c r="D32" s="63">
        <v>8388166.0800000001</v>
      </c>
      <c r="E32" s="64">
        <f>4486400+30000-1000000</f>
        <v>3516400</v>
      </c>
      <c r="F32" s="61">
        <v>1331597.25</v>
      </c>
      <c r="G32" s="61">
        <v>6911334.4800000004</v>
      </c>
      <c r="H32" s="43">
        <f t="shared" si="4"/>
        <v>11759331.73</v>
      </c>
      <c r="I32" s="52">
        <f t="shared" si="3"/>
        <v>140.18954343355111</v>
      </c>
    </row>
    <row r="33" spans="1:10" s="45" customFormat="1" ht="15" customHeight="1" x14ac:dyDescent="0.25">
      <c r="A33" s="46" t="s">
        <v>49</v>
      </c>
      <c r="B33" s="68"/>
      <c r="C33" s="58" t="s">
        <v>50</v>
      </c>
      <c r="D33" s="63"/>
      <c r="E33" s="66"/>
      <c r="F33" s="67"/>
      <c r="G33" s="67"/>
      <c r="H33" s="43">
        <f t="shared" si="4"/>
        <v>0</v>
      </c>
      <c r="I33" s="52"/>
    </row>
    <row r="34" spans="1:10" s="45" customFormat="1" ht="15" customHeight="1" x14ac:dyDescent="0.25">
      <c r="A34" s="46" t="s">
        <v>51</v>
      </c>
      <c r="B34" s="68"/>
      <c r="C34" s="58" t="s">
        <v>52</v>
      </c>
      <c r="D34" s="63">
        <v>1526000</v>
      </c>
      <c r="E34" s="64">
        <v>367500</v>
      </c>
      <c r="F34" s="61">
        <v>337500</v>
      </c>
      <c r="G34" s="61">
        <v>416000</v>
      </c>
      <c r="H34" s="43">
        <f>SUM(E34:G34)</f>
        <v>1121000</v>
      </c>
      <c r="I34" s="52">
        <f t="shared" si="3"/>
        <v>73.460026212319789</v>
      </c>
    </row>
    <row r="35" spans="1:10" s="45" customFormat="1" ht="15" customHeight="1" x14ac:dyDescent="0.25">
      <c r="A35" s="74" t="s">
        <v>53</v>
      </c>
      <c r="B35" s="47" t="s">
        <v>54</v>
      </c>
      <c r="C35" s="48"/>
      <c r="D35" s="65">
        <v>34430394</v>
      </c>
      <c r="E35" s="66">
        <v>1000000</v>
      </c>
      <c r="F35" s="76">
        <v>0</v>
      </c>
      <c r="G35" s="76">
        <v>0</v>
      </c>
      <c r="H35" s="43">
        <f>SUM(E35:G35)</f>
        <v>1000000</v>
      </c>
      <c r="I35" s="52">
        <f>IFERROR(H35/D35*100,"0")</f>
        <v>2.9044105623653333</v>
      </c>
    </row>
    <row r="36" spans="1:10" s="45" customFormat="1" ht="14.1" customHeight="1" x14ac:dyDescent="0.25">
      <c r="A36" s="77"/>
      <c r="B36" s="78"/>
      <c r="C36" s="79"/>
      <c r="D36" s="80"/>
      <c r="E36" s="80"/>
      <c r="F36" s="81"/>
      <c r="G36" s="81"/>
      <c r="H36" s="81"/>
      <c r="I36" s="82"/>
    </row>
    <row r="37" spans="1:10" s="45" customFormat="1" ht="16.5" customHeight="1" x14ac:dyDescent="0.2">
      <c r="A37" s="31" t="s">
        <v>55</v>
      </c>
      <c r="B37" s="78"/>
      <c r="C37" s="78"/>
      <c r="D37" s="80"/>
      <c r="E37" s="80"/>
      <c r="F37" s="83"/>
      <c r="G37" s="83"/>
      <c r="H37" s="83"/>
      <c r="I37" s="84"/>
    </row>
    <row r="38" spans="1:10" ht="14.1" customHeight="1" x14ac:dyDescent="0.2">
      <c r="B38" s="7"/>
      <c r="C38" s="7"/>
      <c r="D38" s="85"/>
      <c r="E38" s="85"/>
      <c r="F38" s="3"/>
      <c r="G38" s="86"/>
      <c r="H38" s="2"/>
      <c r="I38" s="87"/>
      <c r="J38" s="5"/>
    </row>
    <row r="39" spans="1:10" s="38" customFormat="1" ht="27" customHeight="1" x14ac:dyDescent="0.2">
      <c r="A39" s="1"/>
      <c r="B39" s="248" t="s">
        <v>56</v>
      </c>
      <c r="C39" s="249"/>
      <c r="D39" s="88" t="s">
        <v>57</v>
      </c>
      <c r="E39" s="34" t="s">
        <v>13</v>
      </c>
      <c r="F39" s="35" t="s">
        <v>14</v>
      </c>
      <c r="G39" s="34" t="s">
        <v>15</v>
      </c>
      <c r="H39" s="36" t="s">
        <v>16</v>
      </c>
      <c r="I39" s="89" t="s">
        <v>17</v>
      </c>
    </row>
    <row r="40" spans="1:10" s="45" customFormat="1" ht="15" customHeight="1" x14ac:dyDescent="0.25">
      <c r="A40" s="90" t="s">
        <v>58</v>
      </c>
      <c r="B40" s="246" t="s">
        <v>59</v>
      </c>
      <c r="C40" s="247"/>
      <c r="D40" s="65">
        <f>D41+D42+D47</f>
        <v>34604812.299999997</v>
      </c>
      <c r="E40" s="91">
        <v>11333118.18</v>
      </c>
      <c r="F40" s="92">
        <f>F41+F42+F47</f>
        <v>12428124.109999999</v>
      </c>
      <c r="G40" s="92">
        <f>G41+G42+G47</f>
        <v>14201188.220000001</v>
      </c>
      <c r="H40" s="43">
        <f>SUM(E40:G40)</f>
        <v>37962430.509999998</v>
      </c>
      <c r="I40" s="52">
        <f>H40/D40*100</f>
        <v>109.7027493774327</v>
      </c>
    </row>
    <row r="41" spans="1:10" s="45" customFormat="1" ht="12.75" customHeight="1" x14ac:dyDescent="0.25">
      <c r="A41" s="90" t="s">
        <v>60</v>
      </c>
      <c r="B41" s="47" t="s">
        <v>61</v>
      </c>
      <c r="C41" s="48"/>
      <c r="D41" s="93">
        <v>22045380.219999999</v>
      </c>
      <c r="E41" s="94">
        <v>5824298.3700000001</v>
      </c>
      <c r="F41" s="67">
        <v>6459855.9800000004</v>
      </c>
      <c r="G41" s="67">
        <v>8597016.9000000004</v>
      </c>
      <c r="H41" s="43">
        <f>SUM(E41:G41)</f>
        <v>20881171.25</v>
      </c>
      <c r="I41" s="52">
        <f>H41/D41*100</f>
        <v>94.719034290260026</v>
      </c>
    </row>
    <row r="42" spans="1:10" s="45" customFormat="1" x14ac:dyDescent="0.25">
      <c r="A42" s="90" t="s">
        <v>62</v>
      </c>
      <c r="B42" s="47" t="s">
        <v>63</v>
      </c>
      <c r="C42" s="48"/>
      <c r="D42" s="93">
        <f>SUM(D43:D46)</f>
        <v>12524432.08</v>
      </c>
      <c r="E42" s="94">
        <v>5492193.1699999999</v>
      </c>
      <c r="F42" s="69">
        <v>5926548.4699999997</v>
      </c>
      <c r="G42" s="69">
        <f>G43+G44+G46</f>
        <v>5538838.5799999991</v>
      </c>
      <c r="H42" s="43">
        <f>SUM(E42:G42)</f>
        <v>16957580.219999999</v>
      </c>
      <c r="I42" s="52">
        <f>H42/D42*100</f>
        <v>135.39600128519359</v>
      </c>
    </row>
    <row r="43" spans="1:10" s="101" customFormat="1" ht="34.5" customHeight="1" x14ac:dyDescent="0.25">
      <c r="A43" s="95" t="s">
        <v>64</v>
      </c>
      <c r="B43" s="96"/>
      <c r="C43" s="97" t="s">
        <v>46</v>
      </c>
      <c r="D43" s="62">
        <v>1610266</v>
      </c>
      <c r="E43" s="98">
        <v>943785.27</v>
      </c>
      <c r="F43" s="99">
        <v>2544399.85</v>
      </c>
      <c r="G43" s="99">
        <v>945477.78</v>
      </c>
      <c r="H43" s="43">
        <f>SUM(E43:G43)</f>
        <v>4433662.9000000004</v>
      </c>
      <c r="I43" s="52">
        <f>H43/D43*100</f>
        <v>275.33729830972027</v>
      </c>
      <c r="J43" s="100"/>
    </row>
    <row r="44" spans="1:10" s="101" customFormat="1" ht="12.75" customHeight="1" x14ac:dyDescent="0.25">
      <c r="A44" s="95" t="s">
        <v>65</v>
      </c>
      <c r="B44" s="102"/>
      <c r="C44" s="97" t="s">
        <v>48</v>
      </c>
      <c r="D44" s="62">
        <v>8388166.0800000001</v>
      </c>
      <c r="E44" s="98">
        <v>4295655.9000000004</v>
      </c>
      <c r="F44" s="99">
        <v>3097818.52</v>
      </c>
      <c r="G44" s="99">
        <v>4591150.7999999989</v>
      </c>
      <c r="H44" s="43">
        <f>SUM(E44:G44)</f>
        <v>11984625.219999999</v>
      </c>
      <c r="I44" s="52">
        <f>IFERROR(H44/D44*100,"0")</f>
        <v>142.87539261502079</v>
      </c>
    </row>
    <row r="45" spans="1:10" s="101" customFormat="1" ht="12.75" customHeight="1" x14ac:dyDescent="0.25">
      <c r="A45" s="95" t="s">
        <v>66</v>
      </c>
      <c r="B45" s="102"/>
      <c r="C45" s="97" t="s">
        <v>67</v>
      </c>
      <c r="D45" s="62">
        <v>0</v>
      </c>
      <c r="E45" s="98">
        <v>0</v>
      </c>
      <c r="F45" s="99">
        <v>0</v>
      </c>
      <c r="G45" s="99">
        <v>0</v>
      </c>
      <c r="H45" s="43">
        <f t="shared" ref="H45" si="5">SUM(E45:G45)</f>
        <v>0</v>
      </c>
      <c r="I45" s="52" t="str">
        <f>IFERROR(H45/D45*100,"0")</f>
        <v>0</v>
      </c>
    </row>
    <row r="46" spans="1:10" s="101" customFormat="1" ht="12.75" customHeight="1" x14ac:dyDescent="0.25">
      <c r="A46" s="95" t="s">
        <v>68</v>
      </c>
      <c r="B46" s="102"/>
      <c r="C46" s="97" t="s">
        <v>52</v>
      </c>
      <c r="D46" s="62">
        <v>2526000</v>
      </c>
      <c r="E46" s="98">
        <v>352752</v>
      </c>
      <c r="F46" s="99">
        <v>284330.09999999998</v>
      </c>
      <c r="G46" s="99">
        <v>2210</v>
      </c>
      <c r="H46" s="43">
        <f>SUM(E46:G46)</f>
        <v>639292.1</v>
      </c>
      <c r="I46" s="52">
        <f>IFERROR(H46/D46*100,"0")</f>
        <v>25.30847585114806</v>
      </c>
    </row>
    <row r="47" spans="1:10" s="101" customFormat="1" x14ac:dyDescent="0.25">
      <c r="A47" s="90" t="s">
        <v>69</v>
      </c>
      <c r="B47" s="47" t="s">
        <v>70</v>
      </c>
      <c r="C47" s="48"/>
      <c r="D47" s="93">
        <v>35000</v>
      </c>
      <c r="E47" s="91">
        <v>16626.64</v>
      </c>
      <c r="F47" s="92">
        <v>41719.660000000003</v>
      </c>
      <c r="G47" s="92">
        <v>65332.74</v>
      </c>
      <c r="H47" s="43">
        <f>SUM(E47:G47)</f>
        <v>123679.04000000001</v>
      </c>
      <c r="I47" s="52">
        <f>H47/D47*100</f>
        <v>353.36868571428573</v>
      </c>
    </row>
    <row r="48" spans="1:10" s="104" customFormat="1" ht="15" customHeight="1" x14ac:dyDescent="0.25">
      <c r="A48" s="90" t="s">
        <v>71</v>
      </c>
      <c r="B48" s="246" t="s">
        <v>72</v>
      </c>
      <c r="C48" s="247"/>
      <c r="D48" s="93">
        <v>7952102</v>
      </c>
      <c r="E48" s="94">
        <f>E49</f>
        <v>0</v>
      </c>
      <c r="F48" s="94">
        <v>0</v>
      </c>
      <c r="G48" s="94">
        <v>0</v>
      </c>
      <c r="H48" s="103">
        <f>H49</f>
        <v>0</v>
      </c>
      <c r="I48" s="52">
        <f>H48/D48*100</f>
        <v>0</v>
      </c>
    </row>
    <row r="49" spans="1:11" s="104" customFormat="1" x14ac:dyDescent="0.25">
      <c r="A49" s="105" t="s">
        <v>73</v>
      </c>
      <c r="B49" s="47" t="s">
        <v>74</v>
      </c>
      <c r="C49" s="48"/>
      <c r="D49" s="93">
        <v>7952102</v>
      </c>
      <c r="E49" s="94">
        <v>0</v>
      </c>
      <c r="F49" s="106">
        <v>0</v>
      </c>
      <c r="G49" s="106">
        <v>0</v>
      </c>
      <c r="H49" s="103">
        <f>SUM(E49:G49)</f>
        <v>0</v>
      </c>
      <c r="I49" s="52">
        <f>H49/D49*100</f>
        <v>0</v>
      </c>
    </row>
    <row r="50" spans="1:11" s="45" customFormat="1" ht="8.1" customHeight="1" x14ac:dyDescent="0.2">
      <c r="A50" s="1"/>
      <c r="B50" s="107"/>
      <c r="C50" s="107"/>
      <c r="D50" s="108"/>
      <c r="E50" s="108"/>
      <c r="F50" s="83"/>
      <c r="G50" s="83"/>
      <c r="H50" s="81"/>
      <c r="I50" s="82"/>
    </row>
    <row r="51" spans="1:11" s="38" customFormat="1" ht="27" customHeight="1" x14ac:dyDescent="0.2">
      <c r="A51" s="1"/>
      <c r="B51" s="109" t="s">
        <v>75</v>
      </c>
      <c r="C51" s="110"/>
      <c r="D51" s="88" t="s">
        <v>57</v>
      </c>
      <c r="E51" s="34" t="s">
        <v>13</v>
      </c>
      <c r="F51" s="35" t="s">
        <v>14</v>
      </c>
      <c r="G51" s="34" t="s">
        <v>15</v>
      </c>
      <c r="H51" s="36" t="s">
        <v>16</v>
      </c>
      <c r="I51" s="89" t="s">
        <v>17</v>
      </c>
    </row>
    <row r="52" spans="1:11" s="45" customFormat="1" ht="18" customHeight="1" x14ac:dyDescent="0.25">
      <c r="A52" s="39" t="s">
        <v>76</v>
      </c>
      <c r="B52" s="246" t="s">
        <v>77</v>
      </c>
      <c r="C52" s="247"/>
      <c r="D52" s="111">
        <f>D53+D152</f>
        <v>34604812.296810769</v>
      </c>
      <c r="E52" s="112">
        <v>11621481.09</v>
      </c>
      <c r="F52" s="113">
        <v>12428124.110000003</v>
      </c>
      <c r="G52" s="114">
        <f t="shared" ref="G52" si="6">G53+G152</f>
        <v>13912825.313999999</v>
      </c>
      <c r="H52" s="112">
        <f>H53+H152</f>
        <v>37962430.513999999</v>
      </c>
      <c r="I52" s="115">
        <f>H52/D52*100</f>
        <v>109.70274939910215</v>
      </c>
    </row>
    <row r="53" spans="1:11" s="45" customFormat="1" ht="18" customHeight="1" x14ac:dyDescent="0.25">
      <c r="A53" s="39" t="s">
        <v>78</v>
      </c>
      <c r="B53" s="47" t="s">
        <v>79</v>
      </c>
      <c r="C53" s="48"/>
      <c r="D53" s="111">
        <f>D54+D67+D76+D93+D100+D145</f>
        <v>34604812.296810769</v>
      </c>
      <c r="E53" s="112">
        <v>11127668.550000001</v>
      </c>
      <c r="F53" s="113">
        <v>11708355.4</v>
      </c>
      <c r="G53" s="114">
        <f t="shared" ref="G53" si="7">G54+G67+G76+G93+G100+G145</f>
        <v>13840395.534</v>
      </c>
      <c r="H53" s="112">
        <f>H54+H67+H76+H93+H100+H145</f>
        <v>37602776.243999995</v>
      </c>
      <c r="I53" s="115">
        <f>H53/D53*100</f>
        <v>108.66343074331752</v>
      </c>
    </row>
    <row r="54" spans="1:11" s="45" customFormat="1" ht="12.75" customHeight="1" x14ac:dyDescent="0.25">
      <c r="A54" s="39" t="s">
        <v>80</v>
      </c>
      <c r="B54" s="116"/>
      <c r="C54" s="117" t="s">
        <v>81</v>
      </c>
      <c r="D54" s="53">
        <f>D55+D58+D61+D64</f>
        <v>17500739.08497677</v>
      </c>
      <c r="E54" s="118">
        <v>5657453.2699999996</v>
      </c>
      <c r="F54" s="119">
        <v>5930233.0899999999</v>
      </c>
      <c r="G54" s="120">
        <f t="shared" ref="G54" si="8">G55+G58+G61+G64</f>
        <v>6199051.7039999999</v>
      </c>
      <c r="H54" s="118">
        <f>SUM(E54:G54)</f>
        <v>17786738.063999999</v>
      </c>
      <c r="I54" s="115">
        <f>H54/D54*100</f>
        <v>101.63421086180719</v>
      </c>
      <c r="J54" s="121"/>
    </row>
    <row r="55" spans="1:11" s="45" customFormat="1" x14ac:dyDescent="0.25">
      <c r="A55" s="122" t="s">
        <v>82</v>
      </c>
      <c r="B55" s="102"/>
      <c r="C55" s="123" t="s">
        <v>83</v>
      </c>
      <c r="D55" s="53">
        <f t="shared" ref="D55" si="9">SUM(D56:D57)</f>
        <v>1640878.5963999999</v>
      </c>
      <c r="E55" s="113">
        <v>507297.24</v>
      </c>
      <c r="F55" s="113">
        <v>567745.98</v>
      </c>
      <c r="G55" s="113">
        <f t="shared" ref="G55" si="10">SUM(G56:G57)</f>
        <v>618798.92000000004</v>
      </c>
      <c r="H55" s="124">
        <f>SUM(H56:H57)</f>
        <v>1693842.1400000001</v>
      </c>
      <c r="I55" s="52">
        <f t="shared" ref="I55:I63" si="11">H55/D55*100</f>
        <v>103.22775516215516</v>
      </c>
    </row>
    <row r="56" spans="1:11" s="45" customFormat="1" x14ac:dyDescent="0.25">
      <c r="A56" s="122" t="s">
        <v>84</v>
      </c>
      <c r="B56" s="125"/>
      <c r="C56" s="126" t="s">
        <v>85</v>
      </c>
      <c r="D56" s="59">
        <v>516750.8688</v>
      </c>
      <c r="E56" s="98">
        <v>160534.38</v>
      </c>
      <c r="F56" s="99">
        <v>158827.39000000001</v>
      </c>
      <c r="G56" s="99">
        <v>191952.29</v>
      </c>
      <c r="H56" s="127">
        <f>SUM(E56:G56)</f>
        <v>511314.06000000006</v>
      </c>
      <c r="I56" s="52">
        <f t="shared" si="11"/>
        <v>98.947885890811307</v>
      </c>
    </row>
    <row r="57" spans="1:11" s="45" customFormat="1" x14ac:dyDescent="0.25">
      <c r="A57" s="122" t="s">
        <v>86</v>
      </c>
      <c r="B57" s="125"/>
      <c r="C57" s="126" t="s">
        <v>87</v>
      </c>
      <c r="D57" s="59">
        <v>1124127.7275999999</v>
      </c>
      <c r="E57" s="98">
        <v>346762.86</v>
      </c>
      <c r="F57" s="99">
        <v>408918.59</v>
      </c>
      <c r="G57" s="99">
        <v>426846.63</v>
      </c>
      <c r="H57" s="127">
        <f>SUM(E57:G57)</f>
        <v>1182528.08</v>
      </c>
      <c r="I57" s="52">
        <f t="shared" si="11"/>
        <v>105.19517052787981</v>
      </c>
    </row>
    <row r="58" spans="1:11" s="45" customFormat="1" ht="12.75" customHeight="1" x14ac:dyDescent="0.25">
      <c r="A58" s="122" t="s">
        <v>88</v>
      </c>
      <c r="B58" s="102"/>
      <c r="C58" s="123" t="s">
        <v>89</v>
      </c>
      <c r="D58" s="53">
        <f t="shared" ref="D58:G58" si="12">D59+D60</f>
        <v>15442855.122576769</v>
      </c>
      <c r="E58" s="113">
        <v>5076887.08</v>
      </c>
      <c r="F58" s="113">
        <v>5288620.3600000003</v>
      </c>
      <c r="G58" s="113">
        <f t="shared" si="12"/>
        <v>5479637.5499999998</v>
      </c>
      <c r="H58" s="124">
        <f>SUM(H59:H60)</f>
        <v>15845144.99</v>
      </c>
      <c r="I58" s="52">
        <f t="shared" si="11"/>
        <v>102.60502260903233</v>
      </c>
    </row>
    <row r="59" spans="1:11" s="45" customFormat="1" x14ac:dyDescent="0.25">
      <c r="A59" s="122" t="s">
        <v>90</v>
      </c>
      <c r="B59" s="125"/>
      <c r="C59" s="126" t="s">
        <v>85</v>
      </c>
      <c r="D59" s="59">
        <f>3289675.04968267+162648</f>
        <v>3452323.0496826698</v>
      </c>
      <c r="E59" s="98">
        <v>1114613.3500000001</v>
      </c>
      <c r="F59" s="99">
        <v>1143440.3400000001</v>
      </c>
      <c r="G59" s="99">
        <f>1064574.47+31983.98</f>
        <v>1096558.45</v>
      </c>
      <c r="H59" s="127">
        <f>SUM(E59:G59)</f>
        <v>3354612.1400000006</v>
      </c>
      <c r="I59" s="52">
        <f t="shared" si="11"/>
        <v>97.16970549173692</v>
      </c>
    </row>
    <row r="60" spans="1:11" s="45" customFormat="1" x14ac:dyDescent="0.25">
      <c r="A60" s="122" t="s">
        <v>91</v>
      </c>
      <c r="B60" s="125"/>
      <c r="C60" s="126" t="s">
        <v>87</v>
      </c>
      <c r="D60" s="59">
        <f>9428528.0728941+2562004</f>
        <v>11990532.0728941</v>
      </c>
      <c r="E60" s="98">
        <v>3962273.73</v>
      </c>
      <c r="F60" s="99">
        <v>4145180.02</v>
      </c>
      <c r="G60" s="99">
        <f>3508959.06+874120.04</f>
        <v>4383079.0999999996</v>
      </c>
      <c r="H60" s="127">
        <f>SUM(E60:G60)</f>
        <v>12490532.85</v>
      </c>
      <c r="I60" s="52">
        <f t="shared" si="11"/>
        <v>104.16996321819785</v>
      </c>
    </row>
    <row r="61" spans="1:11" s="45" customFormat="1" ht="12.75" customHeight="1" x14ac:dyDescent="0.25">
      <c r="A61" s="122" t="s">
        <v>92</v>
      </c>
      <c r="B61" s="102"/>
      <c r="C61" s="123" t="s">
        <v>93</v>
      </c>
      <c r="D61" s="53">
        <f t="shared" ref="D61:G61" si="13">SUM(D62:D63)</f>
        <v>288134.39</v>
      </c>
      <c r="E61" s="113">
        <v>39223.339999999997</v>
      </c>
      <c r="F61" s="113">
        <v>46961.67</v>
      </c>
      <c r="G61" s="113">
        <f t="shared" si="13"/>
        <v>59521.65</v>
      </c>
      <c r="H61" s="124">
        <f>SUM(H62:H63)</f>
        <v>145706.66</v>
      </c>
      <c r="I61" s="52">
        <f t="shared" si="11"/>
        <v>50.568993170166188</v>
      </c>
    </row>
    <row r="62" spans="1:11" s="45" customFormat="1" x14ac:dyDescent="0.25">
      <c r="A62" s="122" t="s">
        <v>94</v>
      </c>
      <c r="B62" s="125"/>
      <c r="C62" s="126" t="s">
        <v>85</v>
      </c>
      <c r="D62" s="59">
        <v>23410.639999999999</v>
      </c>
      <c r="E62" s="98">
        <v>1650</v>
      </c>
      <c r="F62" s="99">
        <v>5950</v>
      </c>
      <c r="G62" s="99">
        <v>6000</v>
      </c>
      <c r="H62" s="127">
        <f>SUM(E62:G62)</f>
        <v>13600</v>
      </c>
      <c r="I62" s="52">
        <f t="shared" si="11"/>
        <v>58.093243072380766</v>
      </c>
    </row>
    <row r="63" spans="1:11" s="45" customFormat="1" x14ac:dyDescent="0.25">
      <c r="A63" s="122" t="s">
        <v>95</v>
      </c>
      <c r="B63" s="125"/>
      <c r="C63" s="126" t="s">
        <v>87</v>
      </c>
      <c r="D63" s="59">
        <v>264723.75</v>
      </c>
      <c r="E63" s="98">
        <v>37573.339999999997</v>
      </c>
      <c r="F63" s="99">
        <v>41011.67</v>
      </c>
      <c r="G63" s="99">
        <f>44586.65+8935</f>
        <v>53521.65</v>
      </c>
      <c r="H63" s="127">
        <f>SUM(E63:G63)</f>
        <v>132106.66</v>
      </c>
      <c r="I63" s="52">
        <f t="shared" si="11"/>
        <v>49.903591951987686</v>
      </c>
    </row>
    <row r="64" spans="1:11" s="45" customFormat="1" ht="12.75" customHeight="1" x14ac:dyDescent="0.25">
      <c r="A64" s="122" t="s">
        <v>96</v>
      </c>
      <c r="B64" s="102"/>
      <c r="C64" s="123" t="s">
        <v>97</v>
      </c>
      <c r="D64" s="53">
        <f t="shared" ref="D64:G64" si="14">SUM(D65:D66)</f>
        <v>128870.97600000001</v>
      </c>
      <c r="E64" s="113">
        <f t="shared" si="14"/>
        <v>34045.61</v>
      </c>
      <c r="F64" s="113">
        <v>26905.08</v>
      </c>
      <c r="G64" s="113">
        <f t="shared" si="14"/>
        <v>41093.584000000003</v>
      </c>
      <c r="H64" s="124">
        <f>SUM(H65:H66)</f>
        <v>102044.27399999999</v>
      </c>
      <c r="I64" s="52">
        <f>IFERROR(H64/D64*100,"0")</f>
        <v>79.183286390257479</v>
      </c>
      <c r="K64" s="232"/>
    </row>
    <row r="65" spans="1:11" s="45" customFormat="1" x14ac:dyDescent="0.25">
      <c r="A65" s="122" t="s">
        <v>98</v>
      </c>
      <c r="B65" s="125"/>
      <c r="C65" s="126" t="s">
        <v>85</v>
      </c>
      <c r="D65" s="59">
        <v>103096.78080000001</v>
      </c>
      <c r="E65" s="98">
        <v>34045.61</v>
      </c>
      <c r="F65" s="99">
        <v>18833.560000000001</v>
      </c>
      <c r="G65" s="99">
        <v>28765.510000000002</v>
      </c>
      <c r="H65" s="127">
        <f>SUM(E65:G65)</f>
        <v>81644.679999999993</v>
      </c>
      <c r="I65" s="52">
        <f>IFERROR(H65/D65*100,"0")</f>
        <v>79.192269017967234</v>
      </c>
      <c r="K65" s="230"/>
    </row>
    <row r="66" spans="1:11" s="45" customFormat="1" x14ac:dyDescent="0.25">
      <c r="A66" s="122" t="s">
        <v>99</v>
      </c>
      <c r="B66" s="125"/>
      <c r="C66" s="126" t="s">
        <v>87</v>
      </c>
      <c r="D66" s="59">
        <v>25774.195200000002</v>
      </c>
      <c r="E66" s="98">
        <v>0</v>
      </c>
      <c r="F66" s="99">
        <v>8071.52</v>
      </c>
      <c r="G66" s="99">
        <v>12328.074000000001</v>
      </c>
      <c r="H66" s="127">
        <f>SUM(E66:G66)</f>
        <v>20399.594000000001</v>
      </c>
      <c r="I66" s="52">
        <f>IFERROR(H66/D66*100,"0")</f>
        <v>79.147355879418484</v>
      </c>
    </row>
    <row r="67" spans="1:11" s="45" customFormat="1" ht="28.5" customHeight="1" x14ac:dyDescent="0.25">
      <c r="A67" s="39" t="s">
        <v>100</v>
      </c>
      <c r="B67" s="116"/>
      <c r="C67" s="117" t="s">
        <v>101</v>
      </c>
      <c r="D67" s="53">
        <f t="shared" ref="D67:F67" si="15">SUM(D68:D75)</f>
        <v>4503767.2739839992</v>
      </c>
      <c r="E67" s="113">
        <f t="shared" si="15"/>
        <v>1407206.0199999998</v>
      </c>
      <c r="F67" s="113">
        <f t="shared" si="15"/>
        <v>1628937.2700000003</v>
      </c>
      <c r="G67" s="113">
        <f t="shared" ref="G67" si="16">SUM(G68:G75)</f>
        <v>1715547.9200000002</v>
      </c>
      <c r="H67" s="124">
        <f>SUM(H68:H75)</f>
        <v>4751691.21</v>
      </c>
      <c r="I67" s="52">
        <f t="shared" ref="I67:I74" si="17">H67/D67*100</f>
        <v>105.50481232563087</v>
      </c>
    </row>
    <row r="68" spans="1:11" s="45" customFormat="1" x14ac:dyDescent="0.25">
      <c r="A68" s="122" t="s">
        <v>102</v>
      </c>
      <c r="B68" s="125"/>
      <c r="C68" s="97" t="s">
        <v>103</v>
      </c>
      <c r="D68" s="62">
        <v>985848.02222399996</v>
      </c>
      <c r="E68" s="98">
        <v>319002.07</v>
      </c>
      <c r="F68" s="99">
        <v>256794.95000000004</v>
      </c>
      <c r="G68" s="99">
        <v>323165.87</v>
      </c>
      <c r="H68" s="127">
        <f t="shared" ref="H68:H75" si="18">SUM(E68:G68)</f>
        <v>898962.89</v>
      </c>
      <c r="I68" s="52">
        <f t="shared" si="17"/>
        <v>91.186762029709854</v>
      </c>
    </row>
    <row r="69" spans="1:11" s="45" customFormat="1" ht="12.75" customHeight="1" x14ac:dyDescent="0.25">
      <c r="A69" s="122" t="s">
        <v>104</v>
      </c>
      <c r="B69" s="125"/>
      <c r="C69" s="97" t="s">
        <v>105</v>
      </c>
      <c r="D69" s="62">
        <v>2456335.8173599998</v>
      </c>
      <c r="E69" s="98">
        <v>848441.36999999988</v>
      </c>
      <c r="F69" s="99">
        <v>1038136.3300000001</v>
      </c>
      <c r="G69" s="99">
        <v>893805.72</v>
      </c>
      <c r="H69" s="127">
        <f t="shared" si="18"/>
        <v>2780383.42</v>
      </c>
      <c r="I69" s="52">
        <f t="shared" si="17"/>
        <v>113.19231679763875</v>
      </c>
    </row>
    <row r="70" spans="1:11" s="45" customFormat="1" x14ac:dyDescent="0.25">
      <c r="A70" s="122" t="s">
        <v>106</v>
      </c>
      <c r="B70" s="125"/>
      <c r="C70" s="97" t="s">
        <v>107</v>
      </c>
      <c r="D70" s="62">
        <f>108671.64+40000</f>
        <v>148671.64000000001</v>
      </c>
      <c r="E70" s="98">
        <v>36056.53</v>
      </c>
      <c r="F70" s="99">
        <v>35514</v>
      </c>
      <c r="G70" s="99">
        <v>59913.42</v>
      </c>
      <c r="H70" s="127">
        <f t="shared" si="18"/>
        <v>131483.95000000001</v>
      </c>
      <c r="I70" s="52">
        <f t="shared" si="17"/>
        <v>88.439160286386837</v>
      </c>
    </row>
    <row r="71" spans="1:11" s="45" customFormat="1" ht="12.75" customHeight="1" x14ac:dyDescent="0.25">
      <c r="A71" s="122" t="s">
        <v>108</v>
      </c>
      <c r="B71" s="125"/>
      <c r="C71" s="97" t="s">
        <v>109</v>
      </c>
      <c r="D71" s="62">
        <v>505900</v>
      </c>
      <c r="E71" s="98">
        <v>106332.37999999999</v>
      </c>
      <c r="F71" s="99">
        <v>182681.60000000001</v>
      </c>
      <c r="G71" s="99">
        <v>169601.29</v>
      </c>
      <c r="H71" s="127">
        <f t="shared" si="18"/>
        <v>458615.27</v>
      </c>
      <c r="I71" s="52">
        <f t="shared" si="17"/>
        <v>90.653344534492987</v>
      </c>
    </row>
    <row r="72" spans="1:11" s="45" customFormat="1" ht="12.75" customHeight="1" x14ac:dyDescent="0.25">
      <c r="A72" s="122" t="s">
        <v>110</v>
      </c>
      <c r="B72" s="125"/>
      <c r="C72" s="97" t="s">
        <v>111</v>
      </c>
      <c r="D72" s="62">
        <v>233764</v>
      </c>
      <c r="E72" s="98">
        <v>74592.91</v>
      </c>
      <c r="F72" s="99">
        <v>105447.31</v>
      </c>
      <c r="G72" s="99">
        <f>102600.75+35127.02-16.15</f>
        <v>137711.62</v>
      </c>
      <c r="H72" s="127">
        <f t="shared" si="18"/>
        <v>317751.83999999997</v>
      </c>
      <c r="I72" s="52">
        <f t="shared" si="17"/>
        <v>135.9284748720932</v>
      </c>
    </row>
    <row r="73" spans="1:11" s="45" customFormat="1" x14ac:dyDescent="0.25">
      <c r="A73" s="122" t="s">
        <v>112</v>
      </c>
      <c r="B73" s="57"/>
      <c r="C73" s="58" t="s">
        <v>113</v>
      </c>
      <c r="D73" s="62">
        <v>20000</v>
      </c>
      <c r="E73" s="98">
        <v>2299</v>
      </c>
      <c r="F73" s="99">
        <v>0</v>
      </c>
      <c r="G73" s="99">
        <v>1643.29</v>
      </c>
      <c r="H73" s="127">
        <f t="shared" si="18"/>
        <v>3942.29</v>
      </c>
      <c r="I73" s="52">
        <f>IFERROR(H73/D73*100,"0")</f>
        <v>19.711449999999999</v>
      </c>
    </row>
    <row r="74" spans="1:11" s="45" customFormat="1" x14ac:dyDescent="0.25">
      <c r="A74" s="122" t="s">
        <v>114</v>
      </c>
      <c r="B74" s="125"/>
      <c r="C74" s="97" t="s">
        <v>115</v>
      </c>
      <c r="D74" s="62">
        <f>84000+40000</f>
        <v>124000</v>
      </c>
      <c r="E74" s="98">
        <v>10500</v>
      </c>
      <c r="F74" s="99">
        <v>0</v>
      </c>
      <c r="G74" s="99">
        <v>118959.87</v>
      </c>
      <c r="H74" s="127">
        <f t="shared" si="18"/>
        <v>129459.87</v>
      </c>
      <c r="I74" s="52">
        <f t="shared" si="17"/>
        <v>104.40312096774194</v>
      </c>
    </row>
    <row r="75" spans="1:11" s="45" customFormat="1" ht="12.75" customHeight="1" x14ac:dyDescent="0.25">
      <c r="A75" s="122" t="s">
        <v>116</v>
      </c>
      <c r="B75" s="125"/>
      <c r="C75" s="97" t="s">
        <v>117</v>
      </c>
      <c r="D75" s="62">
        <v>29247.794399999999</v>
      </c>
      <c r="E75" s="98">
        <v>9981.76</v>
      </c>
      <c r="F75" s="99">
        <v>10363.08</v>
      </c>
      <c r="G75" s="99">
        <v>10746.84</v>
      </c>
      <c r="H75" s="127">
        <f t="shared" si="18"/>
        <v>31091.68</v>
      </c>
      <c r="I75" s="52">
        <f>IFERROR(H75/D75*100,"0")</f>
        <v>106.30435777406859</v>
      </c>
    </row>
    <row r="76" spans="1:11" s="45" customFormat="1" ht="18" customHeight="1" x14ac:dyDescent="0.25">
      <c r="A76" s="39" t="s">
        <v>118</v>
      </c>
      <c r="B76" s="116"/>
      <c r="C76" s="117" t="s">
        <v>119</v>
      </c>
      <c r="D76" s="53">
        <f>SUM(D77:D78)+SUM(D85:D92)</f>
        <v>3123098.34</v>
      </c>
      <c r="E76" s="91">
        <f>SUM(E77:E78)+SUM(E85:E92)</f>
        <v>426368.26</v>
      </c>
      <c r="F76" s="91">
        <f>SUM(F77:F78)+SUM(F85:F92)</f>
        <v>1158414.0099999998</v>
      </c>
      <c r="G76" s="91">
        <f>SUM(G77:G78)+SUM(G85:G92)</f>
        <v>951241.65999999992</v>
      </c>
      <c r="H76" s="91">
        <f>SUM(H77:H78)+SUM(H85:H92)</f>
        <v>2536040.0799999996</v>
      </c>
      <c r="I76" s="52">
        <f>H76/D76*100</f>
        <v>81.202696934608838</v>
      </c>
    </row>
    <row r="77" spans="1:11" s="45" customFormat="1" ht="12.75" customHeight="1" x14ac:dyDescent="0.25">
      <c r="A77" s="122" t="s">
        <v>120</v>
      </c>
      <c r="B77" s="125"/>
      <c r="C77" s="97" t="s">
        <v>121</v>
      </c>
      <c r="D77" s="59">
        <v>0</v>
      </c>
      <c r="E77" s="98">
        <v>0</v>
      </c>
      <c r="F77" s="99">
        <v>0</v>
      </c>
      <c r="G77" s="99">
        <v>0</v>
      </c>
      <c r="H77" s="127">
        <f t="shared" ref="H77" si="19">SUM(E77:G77)</f>
        <v>0</v>
      </c>
      <c r="I77" s="52" t="str">
        <f>IFERROR(H77/D77*100,"0")</f>
        <v>0</v>
      </c>
    </row>
    <row r="78" spans="1:11" s="45" customFormat="1" x14ac:dyDescent="0.25">
      <c r="A78" s="122" t="s">
        <v>122</v>
      </c>
      <c r="B78" s="125"/>
      <c r="C78" s="128" t="s">
        <v>123</v>
      </c>
      <c r="D78" s="59">
        <f>SUM(D79:D83)</f>
        <v>2403223.6799999997</v>
      </c>
      <c r="E78" s="98">
        <v>266487.34000000003</v>
      </c>
      <c r="F78" s="98">
        <v>1027649.7799999999</v>
      </c>
      <c r="G78" s="98">
        <v>746464.12</v>
      </c>
      <c r="H78" s="127">
        <f t="shared" ref="H78:H83" si="20">SUM(E78:G78)</f>
        <v>2040601.2399999998</v>
      </c>
      <c r="I78" s="52">
        <f t="shared" ref="I78:I83" si="21">H78/D78*100</f>
        <v>84.910999212524402</v>
      </c>
    </row>
    <row r="79" spans="1:11" s="45" customFormat="1" x14ac:dyDescent="0.25">
      <c r="A79" s="122" t="s">
        <v>124</v>
      </c>
      <c r="B79" s="125"/>
      <c r="C79" s="126" t="s">
        <v>125</v>
      </c>
      <c r="D79" s="59">
        <v>400420.80000000005</v>
      </c>
      <c r="E79" s="98">
        <v>21940.25</v>
      </c>
      <c r="F79" s="99">
        <v>115867.01</v>
      </c>
      <c r="G79" s="99">
        <v>90543.8</v>
      </c>
      <c r="H79" s="127">
        <f t="shared" si="20"/>
        <v>228351.06</v>
      </c>
      <c r="I79" s="52">
        <f t="shared" si="21"/>
        <v>57.027771784083136</v>
      </c>
    </row>
    <row r="80" spans="1:11" s="45" customFormat="1" x14ac:dyDescent="0.25">
      <c r="A80" s="122" t="s">
        <v>126</v>
      </c>
      <c r="B80" s="125"/>
      <c r="C80" s="126" t="s">
        <v>127</v>
      </c>
      <c r="D80" s="59">
        <v>1872936</v>
      </c>
      <c r="E80" s="98">
        <v>223713.18</v>
      </c>
      <c r="F80" s="99">
        <f>821205.11+46357.31</f>
        <v>867562.41999999993</v>
      </c>
      <c r="G80" s="99">
        <v>620129.28000000003</v>
      </c>
      <c r="H80" s="127">
        <f t="shared" si="20"/>
        <v>1711404.88</v>
      </c>
      <c r="I80" s="52">
        <f t="shared" si="21"/>
        <v>91.375513098151771</v>
      </c>
    </row>
    <row r="81" spans="1:9" s="45" customFormat="1" x14ac:dyDescent="0.25">
      <c r="A81" s="122" t="s">
        <v>128</v>
      </c>
      <c r="B81" s="125"/>
      <c r="C81" s="126" t="s">
        <v>129</v>
      </c>
      <c r="D81" s="59">
        <v>20666.879999999997</v>
      </c>
      <c r="E81" s="98">
        <v>746.8</v>
      </c>
      <c r="F81" s="99">
        <f>51122.27-46357.31</f>
        <v>4764.9599999999991</v>
      </c>
      <c r="G81" s="99">
        <v>4971.18</v>
      </c>
      <c r="H81" s="127">
        <f t="shared" si="20"/>
        <v>10482.939999999999</v>
      </c>
      <c r="I81" s="52">
        <f t="shared" si="21"/>
        <v>50.723379629629626</v>
      </c>
    </row>
    <row r="82" spans="1:9" s="45" customFormat="1" x14ac:dyDescent="0.25">
      <c r="A82" s="122" t="s">
        <v>130</v>
      </c>
      <c r="B82" s="125"/>
      <c r="C82" s="126" t="s">
        <v>131</v>
      </c>
      <c r="D82" s="59">
        <v>78000</v>
      </c>
      <c r="E82" s="98">
        <v>13910.91</v>
      </c>
      <c r="F82" s="99">
        <v>25958.129999999997</v>
      </c>
      <c r="G82" s="99">
        <v>21027.68</v>
      </c>
      <c r="H82" s="127">
        <f t="shared" si="20"/>
        <v>60896.719999999994</v>
      </c>
      <c r="I82" s="52">
        <f t="shared" si="21"/>
        <v>78.072717948717937</v>
      </c>
    </row>
    <row r="83" spans="1:9" s="45" customFormat="1" x14ac:dyDescent="0.25">
      <c r="A83" s="122" t="s">
        <v>132</v>
      </c>
      <c r="B83" s="125"/>
      <c r="C83" s="126" t="s">
        <v>133</v>
      </c>
      <c r="D83" s="59">
        <v>31200</v>
      </c>
      <c r="E83" s="98">
        <v>6176.2</v>
      </c>
      <c r="F83" s="99">
        <v>13497.26</v>
      </c>
      <c r="G83" s="99">
        <v>9791.58</v>
      </c>
      <c r="H83" s="127">
        <f t="shared" si="20"/>
        <v>29465.040000000001</v>
      </c>
      <c r="I83" s="52">
        <f t="shared" si="21"/>
        <v>94.439230769230775</v>
      </c>
    </row>
    <row r="84" spans="1:9" s="45" customFormat="1" x14ac:dyDescent="0.25">
      <c r="A84" s="122" t="s">
        <v>134</v>
      </c>
      <c r="B84" s="125"/>
      <c r="C84" s="126" t="s">
        <v>135</v>
      </c>
      <c r="D84" s="59">
        <v>0</v>
      </c>
      <c r="E84" s="98"/>
      <c r="F84" s="99"/>
      <c r="G84" s="99"/>
      <c r="H84" s="127"/>
      <c r="I84" s="52" t="str">
        <f>IFERROR(H84/D84*100,"0")</f>
        <v>0</v>
      </c>
    </row>
    <row r="85" spans="1:9" s="45" customFormat="1" ht="12.75" customHeight="1" x14ac:dyDescent="0.25">
      <c r="A85" s="122" t="s">
        <v>136</v>
      </c>
      <c r="B85" s="57"/>
      <c r="C85" s="58" t="s">
        <v>137</v>
      </c>
      <c r="D85" s="59">
        <f>40800+37593.89</f>
        <v>78393.89</v>
      </c>
      <c r="E85" s="98">
        <v>3229.6</v>
      </c>
      <c r="F85" s="99">
        <v>9619.0600000000013</v>
      </c>
      <c r="G85" s="99">
        <v>15506.01</v>
      </c>
      <c r="H85" s="127">
        <f t="shared" ref="H85:H90" si="22">SUM(E85:G85)</f>
        <v>28354.670000000002</v>
      </c>
      <c r="I85" s="52">
        <f>IFERROR(H85/D85*100,"0")</f>
        <v>36.169489739570267</v>
      </c>
    </row>
    <row r="86" spans="1:9" s="45" customFormat="1" ht="12.75" customHeight="1" x14ac:dyDescent="0.25">
      <c r="A86" s="122" t="s">
        <v>138</v>
      </c>
      <c r="B86" s="125"/>
      <c r="C86" s="97" t="s">
        <v>139</v>
      </c>
      <c r="D86" s="59">
        <v>27640</v>
      </c>
      <c r="E86" s="98">
        <v>0</v>
      </c>
      <c r="F86" s="99">
        <v>4189.04</v>
      </c>
      <c r="G86" s="99">
        <v>14523.339999999998</v>
      </c>
      <c r="H86" s="127">
        <f>SUM(E86:G86)+16.15</f>
        <v>18728.53</v>
      </c>
      <c r="I86" s="52">
        <f>H86/D86*100</f>
        <v>67.758791606367581</v>
      </c>
    </row>
    <row r="87" spans="1:9" s="45" customFormat="1" ht="12.75" customHeight="1" x14ac:dyDescent="0.25">
      <c r="A87" s="122" t="s">
        <v>140</v>
      </c>
      <c r="B87" s="57"/>
      <c r="C87" s="58" t="s">
        <v>141</v>
      </c>
      <c r="D87" s="59">
        <v>141900</v>
      </c>
      <c r="E87" s="98">
        <v>58568.29</v>
      </c>
      <c r="F87" s="99">
        <v>37799.879999999997</v>
      </c>
      <c r="G87" s="99">
        <v>59481.42</v>
      </c>
      <c r="H87" s="127">
        <f t="shared" si="22"/>
        <v>155849.59</v>
      </c>
      <c r="I87" s="52">
        <f>H87/D87*100</f>
        <v>109.83057787174066</v>
      </c>
    </row>
    <row r="88" spans="1:9" s="45" customFormat="1" ht="12.75" customHeight="1" x14ac:dyDescent="0.25">
      <c r="A88" s="122" t="s">
        <v>142</v>
      </c>
      <c r="B88" s="125"/>
      <c r="C88" s="97" t="s">
        <v>143</v>
      </c>
      <c r="D88" s="59">
        <f>19200+25000</f>
        <v>44200</v>
      </c>
      <c r="E88" s="98">
        <v>57213.46</v>
      </c>
      <c r="F88" s="99">
        <v>33908.39</v>
      </c>
      <c r="G88" s="99">
        <f>21064+34407.78</f>
        <v>55471.78</v>
      </c>
      <c r="H88" s="127">
        <f t="shared" si="22"/>
        <v>146593.63</v>
      </c>
      <c r="I88" s="52">
        <f>H88/D88*100</f>
        <v>331.65979638009048</v>
      </c>
    </row>
    <row r="89" spans="1:9" s="45" customFormat="1" ht="12.75" customHeight="1" x14ac:dyDescent="0.25">
      <c r="A89" s="122" t="s">
        <v>144</v>
      </c>
      <c r="B89" s="125"/>
      <c r="C89" s="97" t="s">
        <v>145</v>
      </c>
      <c r="D89" s="59">
        <f>127671.77+158069</f>
        <v>285740.77</v>
      </c>
      <c r="E89" s="98">
        <v>25886.54</v>
      </c>
      <c r="F89" s="99">
        <v>25977.23</v>
      </c>
      <c r="G89" s="99">
        <f>44107.96+6719.4</f>
        <v>50827.360000000001</v>
      </c>
      <c r="H89" s="127">
        <f t="shared" si="22"/>
        <v>102691.13</v>
      </c>
      <c r="I89" s="52">
        <f>H89/D89*100</f>
        <v>35.938564174793818</v>
      </c>
    </row>
    <row r="90" spans="1:9" s="45" customFormat="1" ht="12.75" customHeight="1" x14ac:dyDescent="0.25">
      <c r="A90" s="122" t="s">
        <v>146</v>
      </c>
      <c r="B90" s="125"/>
      <c r="C90" s="97" t="s">
        <v>147</v>
      </c>
      <c r="D90" s="59">
        <v>42000</v>
      </c>
      <c r="E90" s="98">
        <v>14983.03</v>
      </c>
      <c r="F90" s="99">
        <v>19270.629999999997</v>
      </c>
      <c r="G90" s="99">
        <v>8967.6299999999992</v>
      </c>
      <c r="H90" s="127">
        <f t="shared" si="22"/>
        <v>43221.289999999994</v>
      </c>
      <c r="I90" s="52">
        <f>IFERROR(H90/D90*100,"0")</f>
        <v>102.90783333333331</v>
      </c>
    </row>
    <row r="91" spans="1:9" s="45" customFormat="1" ht="12.75" customHeight="1" x14ac:dyDescent="0.25">
      <c r="A91" s="122" t="s">
        <v>148</v>
      </c>
      <c r="B91" s="125"/>
      <c r="C91" s="97" t="s">
        <v>149</v>
      </c>
      <c r="D91" s="59">
        <v>0</v>
      </c>
      <c r="E91" s="98"/>
      <c r="F91" s="99">
        <v>0</v>
      </c>
      <c r="G91" s="99"/>
      <c r="H91" s="127"/>
      <c r="I91" s="52" t="str">
        <f>IFERROR(H91/D91*100,"0")</f>
        <v>0</v>
      </c>
    </row>
    <row r="92" spans="1:9" s="129" customFormat="1" ht="12.75" customHeight="1" x14ac:dyDescent="0.25">
      <c r="A92" s="122" t="s">
        <v>150</v>
      </c>
      <c r="B92" s="57"/>
      <c r="C92" s="58" t="s">
        <v>151</v>
      </c>
      <c r="D92" s="59">
        <v>100000</v>
      </c>
      <c r="E92" s="98">
        <v>0</v>
      </c>
      <c r="F92" s="99">
        <v>0</v>
      </c>
      <c r="G92" s="99">
        <v>0</v>
      </c>
      <c r="H92" s="127">
        <f>SUM(E92:G92)</f>
        <v>0</v>
      </c>
      <c r="I92" s="52">
        <f>IFERROR(H92/D92*100,"0")</f>
        <v>0</v>
      </c>
    </row>
    <row r="93" spans="1:9" s="45" customFormat="1" ht="12.75" customHeight="1" x14ac:dyDescent="0.25">
      <c r="A93" s="39" t="s">
        <v>152</v>
      </c>
      <c r="B93" s="116"/>
      <c r="C93" s="117" t="s">
        <v>153</v>
      </c>
      <c r="D93" s="53">
        <f t="shared" ref="D93:G93" si="23">SUM(D94:D99)</f>
        <v>2292442.9078500001</v>
      </c>
      <c r="E93" s="130">
        <f t="shared" si="23"/>
        <v>1948847.2300000002</v>
      </c>
      <c r="F93" s="119">
        <f t="shared" si="23"/>
        <v>1826324.72</v>
      </c>
      <c r="G93" s="119">
        <f t="shared" si="23"/>
        <v>1896496.4099999997</v>
      </c>
      <c r="H93" s="124">
        <f>SUM(H94:H99)</f>
        <v>5671668.3599999994</v>
      </c>
      <c r="I93" s="52">
        <f>H93/D93*100</f>
        <v>247.40718037419973</v>
      </c>
    </row>
    <row r="94" spans="1:9" s="45" customFormat="1" ht="33.75" customHeight="1" x14ac:dyDescent="0.25">
      <c r="A94" s="131" t="s">
        <v>154</v>
      </c>
      <c r="B94" s="57"/>
      <c r="C94" s="58" t="s">
        <v>155</v>
      </c>
      <c r="D94" s="59">
        <v>1062855.1103999999</v>
      </c>
      <c r="E94" s="98">
        <v>1769959.1400000001</v>
      </c>
      <c r="F94" s="99">
        <v>240783.93000000005</v>
      </c>
      <c r="G94" s="99">
        <v>921583.01999999979</v>
      </c>
      <c r="H94" s="127">
        <f>SUM(E94:G94)</f>
        <v>2932326.09</v>
      </c>
      <c r="I94" s="52">
        <f>H94/D94*100</f>
        <v>275.89142314011497</v>
      </c>
    </row>
    <row r="95" spans="1:9" s="45" customFormat="1" ht="12.75" customHeight="1" x14ac:dyDescent="0.25">
      <c r="A95" s="131" t="s">
        <v>156</v>
      </c>
      <c r="B95" s="125"/>
      <c r="C95" s="97" t="s">
        <v>157</v>
      </c>
      <c r="D95" s="59">
        <v>82445</v>
      </c>
      <c r="E95" s="98">
        <v>42588.17</v>
      </c>
      <c r="F95" s="99">
        <v>87361.33</v>
      </c>
      <c r="G95" s="99">
        <f>76300+16.15</f>
        <v>76316.149999999994</v>
      </c>
      <c r="H95" s="127">
        <f>SUM(E95:G95)</f>
        <v>206265.65</v>
      </c>
      <c r="I95" s="52">
        <f>H95/D95*100</f>
        <v>250.18576020377222</v>
      </c>
    </row>
    <row r="96" spans="1:9" s="45" customFormat="1" ht="12.75" customHeight="1" x14ac:dyDescent="0.25">
      <c r="A96" s="131" t="s">
        <v>158</v>
      </c>
      <c r="B96" s="125"/>
      <c r="C96" s="97" t="s">
        <v>159</v>
      </c>
      <c r="D96" s="59">
        <v>0</v>
      </c>
      <c r="E96" s="98">
        <v>0</v>
      </c>
      <c r="F96" s="99">
        <v>0</v>
      </c>
      <c r="G96" s="99">
        <v>0</v>
      </c>
      <c r="H96" s="127">
        <f>SUM(E96:G96)</f>
        <v>0</v>
      </c>
      <c r="I96" s="52" t="str">
        <f>IFERROR(H96/D96*100,"0")</f>
        <v>0</v>
      </c>
    </row>
    <row r="97" spans="1:10" s="45" customFormat="1" ht="12.75" customHeight="1" x14ac:dyDescent="0.25">
      <c r="A97" s="131" t="s">
        <v>160</v>
      </c>
      <c r="B97" s="125"/>
      <c r="C97" s="97" t="s">
        <v>161</v>
      </c>
      <c r="D97" s="59">
        <v>81142.797449999998</v>
      </c>
      <c r="E97" s="98">
        <v>19572.87</v>
      </c>
      <c r="F97" s="99">
        <v>34446.480000000003</v>
      </c>
      <c r="G97" s="99">
        <v>44192.3</v>
      </c>
      <c r="H97" s="127">
        <f>SUM(E97:G97)</f>
        <v>98211.650000000009</v>
      </c>
      <c r="I97" s="52">
        <f>H97/D97*100</f>
        <v>121.03557319491949</v>
      </c>
    </row>
    <row r="98" spans="1:10" s="45" customFormat="1" ht="12.75" customHeight="1" x14ac:dyDescent="0.25">
      <c r="A98" s="131" t="s">
        <v>162</v>
      </c>
      <c r="B98" s="125"/>
      <c r="C98" s="97" t="s">
        <v>163</v>
      </c>
      <c r="D98" s="59">
        <v>0</v>
      </c>
      <c r="E98" s="98"/>
      <c r="F98" s="99"/>
      <c r="G98" s="99"/>
      <c r="H98" s="127"/>
      <c r="I98" s="52"/>
    </row>
    <row r="99" spans="1:10" s="45" customFormat="1" ht="25.5" x14ac:dyDescent="0.25">
      <c r="A99" s="131" t="s">
        <v>164</v>
      </c>
      <c r="B99" s="125"/>
      <c r="C99" s="97" t="s">
        <v>165</v>
      </c>
      <c r="D99" s="59">
        <v>1066000</v>
      </c>
      <c r="E99" s="98">
        <v>116727.05</v>
      </c>
      <c r="F99" s="99">
        <v>1463732.98</v>
      </c>
      <c r="G99" s="99">
        <v>854404.94</v>
      </c>
      <c r="H99" s="127">
        <f>SUM(E99:G99)</f>
        <v>2434864.9699999997</v>
      </c>
      <c r="I99" s="52">
        <f>IFERROR(H99/D99*100,"0")</f>
        <v>228.41134803001873</v>
      </c>
    </row>
    <row r="100" spans="1:10" s="45" customFormat="1" ht="18" customHeight="1" x14ac:dyDescent="0.25">
      <c r="A100" s="39" t="s">
        <v>166</v>
      </c>
      <c r="B100" s="116"/>
      <c r="C100" s="117" t="s">
        <v>167</v>
      </c>
      <c r="D100" s="53">
        <f>D101+D114+D123+D130+D135</f>
        <v>6509955.3700000001</v>
      </c>
      <c r="E100" s="118">
        <f>E101+E114+E123+E130+E135</f>
        <v>1994525.85</v>
      </c>
      <c r="F100" s="118">
        <f t="shared" ref="F100" si="24">F101+F114+F123+F130+F135</f>
        <v>1614091.35</v>
      </c>
      <c r="G100" s="118">
        <f>G101+G114+G123+G130+G135</f>
        <v>2740391.2500000005</v>
      </c>
      <c r="H100" s="124">
        <f>H101+H114+H123+H130+H135</f>
        <v>6348992.3000000007</v>
      </c>
      <c r="I100" s="52">
        <f>H100/D100*100</f>
        <v>97.527432050582561</v>
      </c>
    </row>
    <row r="101" spans="1:10" s="45" customFormat="1" ht="12.75" customHeight="1" x14ac:dyDescent="0.25">
      <c r="A101" s="132" t="s">
        <v>168</v>
      </c>
      <c r="B101" s="133"/>
      <c r="C101" s="134" t="s">
        <v>169</v>
      </c>
      <c r="D101" s="53">
        <f>SUM(D102:D113)</f>
        <v>1678275</v>
      </c>
      <c r="E101" s="118">
        <f>SUM(E102:E113)</f>
        <v>505961.28</v>
      </c>
      <c r="F101" s="118">
        <f t="shared" ref="F101" si="25">SUM(F102:F113)</f>
        <v>712623.52999999991</v>
      </c>
      <c r="G101" s="118">
        <f>SUM(G102:G113)</f>
        <v>627607.51</v>
      </c>
      <c r="H101" s="124">
        <f>SUM(H102:H113)</f>
        <v>1846176.17</v>
      </c>
      <c r="I101" s="52">
        <f>H101/D101*100</f>
        <v>110.00438962625314</v>
      </c>
      <c r="J101" s="230"/>
    </row>
    <row r="102" spans="1:10" s="45" customFormat="1" ht="12.75" customHeight="1" x14ac:dyDescent="0.25">
      <c r="A102" s="122" t="s">
        <v>170</v>
      </c>
      <c r="B102" s="135"/>
      <c r="C102" s="136" t="s">
        <v>171</v>
      </c>
      <c r="D102" s="59">
        <v>1227000</v>
      </c>
      <c r="E102" s="98">
        <v>397000</v>
      </c>
      <c r="F102" s="99">
        <v>562652.96</v>
      </c>
      <c r="G102" s="99">
        <v>360400</v>
      </c>
      <c r="H102" s="127">
        <f>SUM(E102:G102)</f>
        <v>1320052.96</v>
      </c>
      <c r="I102" s="52">
        <f>IFERROR(H102/D102*100,"0")</f>
        <v>107.5837783211084</v>
      </c>
    </row>
    <row r="103" spans="1:10" s="45" customFormat="1" ht="12.75" customHeight="1" x14ac:dyDescent="0.25">
      <c r="A103" s="122" t="s">
        <v>172</v>
      </c>
      <c r="B103" s="135"/>
      <c r="C103" s="136" t="s">
        <v>173</v>
      </c>
      <c r="D103" s="59">
        <v>371000</v>
      </c>
      <c r="E103" s="98">
        <v>108284.5</v>
      </c>
      <c r="F103" s="99">
        <v>90395.77</v>
      </c>
      <c r="G103" s="99">
        <v>217270.15</v>
      </c>
      <c r="H103" s="127">
        <f>SUM(E103:G103)</f>
        <v>415950.42000000004</v>
      </c>
      <c r="I103" s="52">
        <f>IFERROR(H103/D103*100,"0")</f>
        <v>112.11601617250675</v>
      </c>
    </row>
    <row r="104" spans="1:10" s="45" customFormat="1" ht="12.75" customHeight="1" x14ac:dyDescent="0.25">
      <c r="A104" s="122" t="s">
        <v>174</v>
      </c>
      <c r="B104" s="135"/>
      <c r="C104" s="136" t="s">
        <v>175</v>
      </c>
      <c r="D104" s="59">
        <v>23200</v>
      </c>
      <c r="E104" s="98">
        <v>39.03</v>
      </c>
      <c r="F104" s="99">
        <v>37887.230000000003</v>
      </c>
      <c r="G104" s="99">
        <v>4470.6900000000005</v>
      </c>
      <c r="H104" s="127">
        <f>SUM(E104:G104)</f>
        <v>42396.950000000004</v>
      </c>
      <c r="I104" s="52">
        <f>H104/D104*100</f>
        <v>182.74547413793104</v>
      </c>
    </row>
    <row r="105" spans="1:10" s="45" customFormat="1" ht="12.75" customHeight="1" x14ac:dyDescent="0.25">
      <c r="A105" s="122" t="s">
        <v>176</v>
      </c>
      <c r="B105" s="135"/>
      <c r="C105" s="136" t="s">
        <v>177</v>
      </c>
      <c r="D105" s="59">
        <v>3000</v>
      </c>
      <c r="E105" s="98">
        <v>0</v>
      </c>
      <c r="F105" s="99"/>
      <c r="G105" s="99">
        <v>0</v>
      </c>
      <c r="H105" s="127">
        <f t="shared" ref="H105:H112" si="26">SUM(E105:G105)</f>
        <v>0</v>
      </c>
      <c r="I105" s="52">
        <f t="shared" ref="I105:I113" si="27">H105/D105*100</f>
        <v>0</v>
      </c>
    </row>
    <row r="106" spans="1:10" s="45" customFormat="1" ht="12.75" customHeight="1" x14ac:dyDescent="0.25">
      <c r="A106" s="122" t="s">
        <v>178</v>
      </c>
      <c r="B106" s="135"/>
      <c r="C106" s="136" t="s">
        <v>179</v>
      </c>
      <c r="D106" s="59">
        <v>0</v>
      </c>
      <c r="E106" s="98">
        <v>0</v>
      </c>
      <c r="F106" s="98">
        <v>0</v>
      </c>
      <c r="G106" s="99">
        <v>0</v>
      </c>
      <c r="H106" s="127">
        <f>SUM(E106:G106)</f>
        <v>0</v>
      </c>
      <c r="I106" s="52" t="str">
        <f>IFERROR(H106/D106*100,"0")</f>
        <v>0</v>
      </c>
    </row>
    <row r="107" spans="1:10" s="45" customFormat="1" ht="12.75" customHeight="1" x14ac:dyDescent="0.25">
      <c r="A107" s="122" t="s">
        <v>180</v>
      </c>
      <c r="B107" s="135"/>
      <c r="C107" s="136" t="s">
        <v>181</v>
      </c>
      <c r="D107" s="59">
        <v>0</v>
      </c>
      <c r="E107" s="98">
        <v>0</v>
      </c>
      <c r="F107" s="99"/>
      <c r="G107" s="99"/>
      <c r="H107" s="127">
        <f t="shared" si="26"/>
        <v>0</v>
      </c>
      <c r="I107" s="52" t="str">
        <f t="shared" ref="I107:I112" si="28">IFERROR(H107/D107*100,"0")</f>
        <v>0</v>
      </c>
    </row>
    <row r="108" spans="1:10" s="45" customFormat="1" ht="12.75" customHeight="1" x14ac:dyDescent="0.25">
      <c r="A108" s="122" t="s">
        <v>182</v>
      </c>
      <c r="B108" s="135"/>
      <c r="C108" s="136" t="s">
        <v>183</v>
      </c>
      <c r="D108" s="59">
        <v>0</v>
      </c>
      <c r="E108" s="98">
        <v>0</v>
      </c>
      <c r="F108" s="99"/>
      <c r="G108" s="99"/>
      <c r="H108" s="127">
        <f t="shared" si="26"/>
        <v>0</v>
      </c>
      <c r="I108" s="52" t="str">
        <f t="shared" si="28"/>
        <v>0</v>
      </c>
    </row>
    <row r="109" spans="1:10" s="45" customFormat="1" ht="12.75" customHeight="1" x14ac:dyDescent="0.25">
      <c r="A109" s="122" t="s">
        <v>184</v>
      </c>
      <c r="B109" s="135"/>
      <c r="C109" s="136" t="s">
        <v>185</v>
      </c>
      <c r="D109" s="59">
        <v>0</v>
      </c>
      <c r="E109" s="98">
        <v>0</v>
      </c>
      <c r="F109" s="99"/>
      <c r="G109" s="99"/>
      <c r="H109" s="127">
        <f t="shared" si="26"/>
        <v>0</v>
      </c>
      <c r="I109" s="52" t="str">
        <f t="shared" si="28"/>
        <v>0</v>
      </c>
    </row>
    <row r="110" spans="1:10" s="45" customFormat="1" ht="12.75" customHeight="1" x14ac:dyDescent="0.25">
      <c r="A110" s="122" t="s">
        <v>186</v>
      </c>
      <c r="B110" s="135"/>
      <c r="C110" s="136" t="s">
        <v>187</v>
      </c>
      <c r="D110" s="59">
        <v>0</v>
      </c>
      <c r="E110" s="98">
        <v>0</v>
      </c>
      <c r="F110" s="99"/>
      <c r="G110" s="99"/>
      <c r="H110" s="127">
        <f t="shared" si="26"/>
        <v>0</v>
      </c>
      <c r="I110" s="52" t="str">
        <f t="shared" si="28"/>
        <v>0</v>
      </c>
    </row>
    <row r="111" spans="1:10" s="45" customFormat="1" ht="12.75" customHeight="1" x14ac:dyDescent="0.25">
      <c r="A111" s="122" t="s">
        <v>188</v>
      </c>
      <c r="B111" s="135"/>
      <c r="C111" s="136" t="s">
        <v>189</v>
      </c>
      <c r="D111" s="59">
        <v>0</v>
      </c>
      <c r="E111" s="98">
        <v>0</v>
      </c>
      <c r="F111" s="99"/>
      <c r="G111" s="99"/>
      <c r="H111" s="127">
        <f t="shared" si="26"/>
        <v>0</v>
      </c>
      <c r="I111" s="52" t="str">
        <f t="shared" si="28"/>
        <v>0</v>
      </c>
    </row>
    <row r="112" spans="1:10" s="45" customFormat="1" ht="12.75" customHeight="1" x14ac:dyDescent="0.25">
      <c r="A112" s="122" t="s">
        <v>190</v>
      </c>
      <c r="B112" s="135"/>
      <c r="C112" s="136" t="s">
        <v>191</v>
      </c>
      <c r="D112" s="59">
        <v>0</v>
      </c>
      <c r="E112" s="98">
        <v>0</v>
      </c>
      <c r="F112" s="99"/>
      <c r="G112" s="99"/>
      <c r="H112" s="127">
        <f t="shared" si="26"/>
        <v>0</v>
      </c>
      <c r="I112" s="52" t="str">
        <f t="shared" si="28"/>
        <v>0</v>
      </c>
    </row>
    <row r="113" spans="1:9" s="45" customFormat="1" ht="12.75" customHeight="1" x14ac:dyDescent="0.25">
      <c r="A113" s="122" t="s">
        <v>192</v>
      </c>
      <c r="B113" s="135"/>
      <c r="C113" s="136" t="s">
        <v>193</v>
      </c>
      <c r="D113" s="59">
        <v>54075</v>
      </c>
      <c r="E113" s="98">
        <v>637.75</v>
      </c>
      <c r="F113" s="99">
        <v>21687.569999999996</v>
      </c>
      <c r="G113" s="99">
        <v>45466.67</v>
      </c>
      <c r="H113" s="127">
        <f>SUM(E113:G113)-16.15</f>
        <v>67775.839999999997</v>
      </c>
      <c r="I113" s="52">
        <f t="shared" si="27"/>
        <v>125.33673601479427</v>
      </c>
    </row>
    <row r="114" spans="1:9" s="45" customFormat="1" ht="12.75" customHeight="1" x14ac:dyDescent="0.25">
      <c r="A114" s="132" t="s">
        <v>194</v>
      </c>
      <c r="B114" s="133"/>
      <c r="C114" s="134" t="s">
        <v>195</v>
      </c>
      <c r="D114" s="53">
        <f>SUM(D115:D122)</f>
        <v>4341299.87</v>
      </c>
      <c r="E114" s="119">
        <f>SUM(E115:E122)</f>
        <v>1459101.62</v>
      </c>
      <c r="F114" s="119">
        <f>SUM(F115:F122)</f>
        <v>873912.24000000011</v>
      </c>
      <c r="G114" s="119">
        <f>SUM(G115:G122)</f>
        <v>1994867.4300000006</v>
      </c>
      <c r="H114" s="124">
        <f>SUM(H115:H122)</f>
        <v>4327881.290000001</v>
      </c>
      <c r="I114" s="52">
        <f>H114/D114*100</f>
        <v>99.690908704723981</v>
      </c>
    </row>
    <row r="115" spans="1:9" s="45" customFormat="1" ht="12.75" customHeight="1" x14ac:dyDescent="0.25">
      <c r="A115" s="137" t="s">
        <v>196</v>
      </c>
      <c r="B115" s="138"/>
      <c r="C115" s="136" t="s">
        <v>197</v>
      </c>
      <c r="D115" s="59">
        <v>6500</v>
      </c>
      <c r="E115" s="98">
        <v>0</v>
      </c>
      <c r="F115" s="99">
        <v>0</v>
      </c>
      <c r="G115" s="99">
        <v>0</v>
      </c>
      <c r="H115" s="127">
        <f>SUM(E115:G115)</f>
        <v>0</v>
      </c>
      <c r="I115" s="52">
        <f>IFERROR(H115/D115*100,"0")</f>
        <v>0</v>
      </c>
    </row>
    <row r="116" spans="1:9" s="45" customFormat="1" ht="12.75" customHeight="1" x14ac:dyDescent="0.25">
      <c r="A116" s="137" t="s">
        <v>198</v>
      </c>
      <c r="B116" s="138"/>
      <c r="C116" s="139" t="s">
        <v>199</v>
      </c>
      <c r="D116" s="59">
        <v>0</v>
      </c>
      <c r="E116" s="98">
        <v>0</v>
      </c>
      <c r="F116" s="99">
        <v>0</v>
      </c>
      <c r="G116" s="99">
        <v>0</v>
      </c>
      <c r="H116" s="127">
        <f>SUM(E116:G116)</f>
        <v>0</v>
      </c>
      <c r="I116" s="52" t="str">
        <f>IFERROR(H116/D116*100,"0")</f>
        <v>0</v>
      </c>
    </row>
    <row r="117" spans="1:9" s="45" customFormat="1" x14ac:dyDescent="0.25">
      <c r="A117" s="137" t="s">
        <v>200</v>
      </c>
      <c r="B117" s="140"/>
      <c r="C117" s="136" t="s">
        <v>201</v>
      </c>
      <c r="D117" s="59">
        <v>4131699.87</v>
      </c>
      <c r="E117" s="98">
        <v>1437301.62</v>
      </c>
      <c r="F117" s="99">
        <v>846078.34000000008</v>
      </c>
      <c r="G117" s="99">
        <v>1916994.1600000006</v>
      </c>
      <c r="H117" s="127">
        <f>SUM(E117:G117)</f>
        <v>4200374.120000001</v>
      </c>
      <c r="I117" s="52">
        <f>IFERROR(H117/D117*100,"0")</f>
        <v>101.66213065229255</v>
      </c>
    </row>
    <row r="118" spans="1:9" s="45" customFormat="1" ht="12.75" customHeight="1" x14ac:dyDescent="0.25">
      <c r="A118" s="137" t="s">
        <v>202</v>
      </c>
      <c r="B118" s="138"/>
      <c r="C118" s="136" t="s">
        <v>203</v>
      </c>
      <c r="D118" s="59">
        <v>0</v>
      </c>
      <c r="E118" s="98">
        <v>0</v>
      </c>
      <c r="F118" s="99">
        <v>0</v>
      </c>
      <c r="G118" s="99">
        <v>0</v>
      </c>
      <c r="H118" s="127">
        <f>SUM(E118:G118)</f>
        <v>0</v>
      </c>
      <c r="I118" s="52" t="str">
        <f>IFERROR(H118/D118*100,"0")</f>
        <v>0</v>
      </c>
    </row>
    <row r="119" spans="1:9" s="45" customFormat="1" ht="12.75" customHeight="1" x14ac:dyDescent="0.25">
      <c r="A119" s="137" t="s">
        <v>204</v>
      </c>
      <c r="B119" s="138"/>
      <c r="C119" s="136" t="s">
        <v>205</v>
      </c>
      <c r="D119" s="59">
        <v>0</v>
      </c>
      <c r="E119" s="98"/>
      <c r="F119" s="99"/>
      <c r="G119" s="99"/>
      <c r="H119" s="127">
        <f t="shared" ref="H119:H121" si="29">SUM(E119:G119)</f>
        <v>0</v>
      </c>
      <c r="I119" s="52" t="str">
        <f t="shared" ref="I119:I121" si="30">IFERROR(H119/D119*100,"0")</f>
        <v>0</v>
      </c>
    </row>
    <row r="120" spans="1:9" s="45" customFormat="1" ht="12.75" customHeight="1" x14ac:dyDescent="0.25">
      <c r="A120" s="137" t="s">
        <v>206</v>
      </c>
      <c r="B120" s="138"/>
      <c r="C120" s="136" t="s">
        <v>207</v>
      </c>
      <c r="D120" s="59">
        <v>81000</v>
      </c>
      <c r="E120" s="98">
        <v>4000</v>
      </c>
      <c r="F120" s="99">
        <v>0</v>
      </c>
      <c r="G120" s="99">
        <v>15850</v>
      </c>
      <c r="H120" s="127">
        <f t="shared" si="29"/>
        <v>19850</v>
      </c>
      <c r="I120" s="52">
        <f t="shared" si="30"/>
        <v>24.506172839506174</v>
      </c>
    </row>
    <row r="121" spans="1:9" s="45" customFormat="1" ht="38.25" x14ac:dyDescent="0.25">
      <c r="A121" s="137" t="s">
        <v>208</v>
      </c>
      <c r="B121" s="138"/>
      <c r="C121" s="136" t="s">
        <v>209</v>
      </c>
      <c r="D121" s="59">
        <v>0</v>
      </c>
      <c r="E121" s="98"/>
      <c r="F121" s="99"/>
      <c r="G121" s="99"/>
      <c r="H121" s="127">
        <f t="shared" si="29"/>
        <v>0</v>
      </c>
      <c r="I121" s="52" t="str">
        <f t="shared" si="30"/>
        <v>0</v>
      </c>
    </row>
    <row r="122" spans="1:9" s="45" customFormat="1" ht="12.75" customHeight="1" x14ac:dyDescent="0.25">
      <c r="A122" s="137" t="s">
        <v>210</v>
      </c>
      <c r="B122" s="138"/>
      <c r="C122" s="136" t="s">
        <v>211</v>
      </c>
      <c r="D122" s="59">
        <v>122100</v>
      </c>
      <c r="E122" s="98">
        <v>17800</v>
      </c>
      <c r="F122" s="99">
        <v>27833.9</v>
      </c>
      <c r="G122" s="99">
        <v>62023.270000000004</v>
      </c>
      <c r="H122" s="127">
        <f>SUM(E122:G122)</f>
        <v>107657.17000000001</v>
      </c>
      <c r="I122" s="52">
        <f>H122/D122*100</f>
        <v>88.171310401310407</v>
      </c>
    </row>
    <row r="123" spans="1:9" s="45" customFormat="1" ht="12.75" customHeight="1" x14ac:dyDescent="0.25">
      <c r="A123" s="132" t="s">
        <v>212</v>
      </c>
      <c r="B123" s="133"/>
      <c r="C123" s="134" t="s">
        <v>213</v>
      </c>
      <c r="D123" s="53">
        <f>SUM(D124:D129)</f>
        <v>485380.5</v>
      </c>
      <c r="E123" s="119">
        <f>SUM(E124:E133)</f>
        <v>27014.95</v>
      </c>
      <c r="F123" s="119">
        <f>SUM(F124:F133)</f>
        <v>27555.58</v>
      </c>
      <c r="G123" s="119">
        <f>SUM(G124:G130)</f>
        <v>117916.31000000001</v>
      </c>
      <c r="H123" s="124">
        <f>SUM(H124:H127)</f>
        <v>172486.84</v>
      </c>
      <c r="I123" s="52">
        <f>H123/D123*100</f>
        <v>35.536417305598391</v>
      </c>
    </row>
    <row r="124" spans="1:9" s="45" customFormat="1" ht="12.75" customHeight="1" x14ac:dyDescent="0.25">
      <c r="A124" s="137" t="s">
        <v>214</v>
      </c>
      <c r="B124" s="141"/>
      <c r="C124" s="136" t="s">
        <v>215</v>
      </c>
      <c r="D124" s="59">
        <f>111809+250861</f>
        <v>362670</v>
      </c>
      <c r="E124" s="98">
        <v>20366</v>
      </c>
      <c r="F124" s="99">
        <v>27555.58</v>
      </c>
      <c r="G124" s="99">
        <v>104742.04000000001</v>
      </c>
      <c r="H124" s="127">
        <f>SUM(E124:G124)</f>
        <v>152663.62</v>
      </c>
      <c r="I124" s="52">
        <f>IFERROR(H124/D124*100,"0")</f>
        <v>42.094361265061906</v>
      </c>
    </row>
    <row r="125" spans="1:9" s="45" customFormat="1" x14ac:dyDescent="0.25">
      <c r="A125" s="137" t="s">
        <v>216</v>
      </c>
      <c r="B125" s="141"/>
      <c r="C125" s="136" t="s">
        <v>217</v>
      </c>
      <c r="D125" s="59">
        <v>71200</v>
      </c>
      <c r="E125" s="98">
        <v>0</v>
      </c>
      <c r="F125" s="99">
        <v>0</v>
      </c>
      <c r="G125" s="99">
        <v>0</v>
      </c>
      <c r="H125" s="127">
        <f>SUM(E125:G125)</f>
        <v>0</v>
      </c>
      <c r="I125" s="52">
        <f>IFERROR(H125/D125*100,"0")</f>
        <v>0</v>
      </c>
    </row>
    <row r="126" spans="1:9" s="45" customFormat="1" ht="12.75" customHeight="1" x14ac:dyDescent="0.25">
      <c r="A126" s="137" t="s">
        <v>218</v>
      </c>
      <c r="B126" s="141"/>
      <c r="C126" s="136" t="s">
        <v>219</v>
      </c>
      <c r="D126" s="59">
        <v>0</v>
      </c>
      <c r="E126" s="98">
        <v>0</v>
      </c>
      <c r="F126" s="99">
        <v>0</v>
      </c>
      <c r="G126" s="99">
        <v>0</v>
      </c>
      <c r="H126" s="127">
        <f>SUM(E126:G126)</f>
        <v>0</v>
      </c>
      <c r="I126" s="52" t="str">
        <f>IFERROR(H126/D126*100,"0")</f>
        <v>0</v>
      </c>
    </row>
    <row r="127" spans="1:9" s="45" customFormat="1" ht="12.75" customHeight="1" x14ac:dyDescent="0.25">
      <c r="A127" s="137" t="s">
        <v>220</v>
      </c>
      <c r="B127" s="141"/>
      <c r="C127" s="139" t="s">
        <v>221</v>
      </c>
      <c r="D127" s="59">
        <v>51448</v>
      </c>
      <c r="E127" s="98">
        <v>6648.95</v>
      </c>
      <c r="F127" s="99">
        <v>0</v>
      </c>
      <c r="G127" s="99">
        <v>13174.27</v>
      </c>
      <c r="H127" s="127">
        <f>SUM(E127:G127)</f>
        <v>19823.22</v>
      </c>
      <c r="I127" s="52">
        <f>IFERROR(H127/D127*100,"0")</f>
        <v>38.530593997823047</v>
      </c>
    </row>
    <row r="128" spans="1:9" s="45" customFormat="1" ht="12.75" customHeight="1" x14ac:dyDescent="0.25">
      <c r="A128" s="137" t="s">
        <v>222</v>
      </c>
      <c r="B128" s="141"/>
      <c r="C128" s="139" t="s">
        <v>223</v>
      </c>
      <c r="D128" s="59">
        <v>62.5</v>
      </c>
      <c r="E128" s="64"/>
      <c r="F128" s="99"/>
      <c r="G128" s="99"/>
      <c r="H128" s="127"/>
      <c r="I128" s="52">
        <f t="shared" ref="I128:I129" si="31">IFERROR(H128/D128*100,"0")</f>
        <v>0</v>
      </c>
    </row>
    <row r="129" spans="1:9" s="45" customFormat="1" ht="12.75" customHeight="1" x14ac:dyDescent="0.25">
      <c r="A129" s="137" t="s">
        <v>224</v>
      </c>
      <c r="B129" s="141"/>
      <c r="C129" s="139" t="s">
        <v>225</v>
      </c>
      <c r="D129" s="59">
        <v>0</v>
      </c>
      <c r="E129" s="64"/>
      <c r="F129" s="99"/>
      <c r="G129" s="99"/>
      <c r="H129" s="127"/>
      <c r="I129" s="52" t="str">
        <f t="shared" si="31"/>
        <v>0</v>
      </c>
    </row>
    <row r="130" spans="1:9" s="45" customFormat="1" ht="12.75" customHeight="1" x14ac:dyDescent="0.25">
      <c r="A130" s="132" t="s">
        <v>226</v>
      </c>
      <c r="B130" s="133"/>
      <c r="C130" s="134" t="s">
        <v>227</v>
      </c>
      <c r="D130" s="53">
        <v>0</v>
      </c>
      <c r="E130" s="130">
        <f t="shared" ref="E130:G130" si="32">E131</f>
        <v>0</v>
      </c>
      <c r="F130" s="119">
        <f t="shared" si="32"/>
        <v>0</v>
      </c>
      <c r="G130" s="119">
        <f t="shared" si="32"/>
        <v>0</v>
      </c>
      <c r="H130" s="124">
        <f>H131</f>
        <v>0</v>
      </c>
      <c r="I130" s="52" t="str">
        <f>IFERROR(H130/D130*100,"0")</f>
        <v>0</v>
      </c>
    </row>
    <row r="131" spans="1:9" s="45" customFormat="1" x14ac:dyDescent="0.25">
      <c r="A131" s="137" t="s">
        <v>228</v>
      </c>
      <c r="B131" s="141"/>
      <c r="C131" s="136" t="s">
        <v>229</v>
      </c>
      <c r="D131" s="59">
        <v>0</v>
      </c>
      <c r="E131" s="98">
        <v>0</v>
      </c>
      <c r="F131" s="99">
        <v>0</v>
      </c>
      <c r="G131" s="99">
        <v>0</v>
      </c>
      <c r="H131" s="127">
        <f>SUM(E131:G131)</f>
        <v>0</v>
      </c>
      <c r="I131" s="52" t="str">
        <f>IFERROR(H131/D131*100,"0")</f>
        <v>0</v>
      </c>
    </row>
    <row r="132" spans="1:9" s="45" customFormat="1" ht="25.5" x14ac:dyDescent="0.25">
      <c r="A132" s="137" t="s">
        <v>230</v>
      </c>
      <c r="B132" s="141"/>
      <c r="C132" s="136" t="s">
        <v>231</v>
      </c>
      <c r="D132" s="59">
        <v>0</v>
      </c>
      <c r="E132" s="98">
        <v>0</v>
      </c>
      <c r="F132" s="99">
        <v>0</v>
      </c>
      <c r="G132" s="99">
        <v>0</v>
      </c>
      <c r="H132" s="127">
        <f>SUM(E132:G132)</f>
        <v>0</v>
      </c>
      <c r="I132" s="52" t="str">
        <f>IFERROR(H132/D132*100,"0")</f>
        <v>0</v>
      </c>
    </row>
    <row r="133" spans="1:9" s="45" customFormat="1" x14ac:dyDescent="0.25">
      <c r="A133" s="137" t="s">
        <v>232</v>
      </c>
      <c r="B133" s="141"/>
      <c r="C133" s="136" t="s">
        <v>233</v>
      </c>
      <c r="D133" s="59"/>
      <c r="E133" s="98">
        <v>0</v>
      </c>
      <c r="F133" s="99">
        <v>0</v>
      </c>
      <c r="G133" s="99">
        <v>0</v>
      </c>
      <c r="H133" s="127">
        <f>SUM(E133:G133)</f>
        <v>0</v>
      </c>
      <c r="I133" s="52" t="str">
        <f>IFERROR(H133/D133*100,"0")</f>
        <v>0</v>
      </c>
    </row>
    <row r="134" spans="1:9" s="45" customFormat="1" ht="25.5" x14ac:dyDescent="0.25">
      <c r="A134" s="137" t="s">
        <v>234</v>
      </c>
      <c r="B134" s="141"/>
      <c r="C134" s="136" t="s">
        <v>235</v>
      </c>
      <c r="D134" s="59"/>
      <c r="E134" s="98"/>
      <c r="F134" s="142"/>
      <c r="G134" s="142"/>
      <c r="H134" s="127"/>
      <c r="I134" s="52" t="str">
        <f>IFERROR(H134/D134*100,"0")</f>
        <v>0</v>
      </c>
    </row>
    <row r="135" spans="1:9" s="45" customFormat="1" x14ac:dyDescent="0.25">
      <c r="A135" s="132" t="s">
        <v>236</v>
      </c>
      <c r="B135" s="133"/>
      <c r="C135" s="134" t="s">
        <v>237</v>
      </c>
      <c r="D135" s="53">
        <f>SUM(D136:D142)</f>
        <v>5000</v>
      </c>
      <c r="E135" s="118">
        <f t="shared" ref="E135:G135" si="33">SUM(E136:E142)</f>
        <v>2448</v>
      </c>
      <c r="F135" s="119">
        <f t="shared" si="33"/>
        <v>0</v>
      </c>
      <c r="G135" s="120">
        <f t="shared" si="33"/>
        <v>0</v>
      </c>
      <c r="H135" s="118">
        <f>SUM(H136:H142)</f>
        <v>2448</v>
      </c>
      <c r="I135" s="115">
        <f t="shared" ref="I135:I142" si="34">IFERROR(H135/D135*100,"0")</f>
        <v>48.96</v>
      </c>
    </row>
    <row r="136" spans="1:9" s="45" customFormat="1" x14ac:dyDescent="0.25">
      <c r="A136" s="137" t="s">
        <v>238</v>
      </c>
      <c r="B136" s="141"/>
      <c r="C136" s="136" t="s">
        <v>239</v>
      </c>
      <c r="D136" s="59">
        <v>0</v>
      </c>
      <c r="E136" s="98"/>
      <c r="F136" s="142"/>
      <c r="G136" s="142"/>
      <c r="H136" s="127">
        <f t="shared" ref="H136:H142" si="35">SUM(E136:G136)</f>
        <v>0</v>
      </c>
      <c r="I136" s="52" t="str">
        <f t="shared" si="34"/>
        <v>0</v>
      </c>
    </row>
    <row r="137" spans="1:9" s="45" customFormat="1" x14ac:dyDescent="0.25">
      <c r="A137" s="137" t="s">
        <v>240</v>
      </c>
      <c r="B137" s="141"/>
      <c r="C137" s="136" t="s">
        <v>241</v>
      </c>
      <c r="D137" s="59">
        <v>0</v>
      </c>
      <c r="E137" s="98"/>
      <c r="F137" s="142"/>
      <c r="G137" s="142"/>
      <c r="H137" s="127">
        <f t="shared" si="35"/>
        <v>0</v>
      </c>
      <c r="I137" s="52" t="str">
        <f t="shared" si="34"/>
        <v>0</v>
      </c>
    </row>
    <row r="138" spans="1:9" s="45" customFormat="1" x14ac:dyDescent="0.25">
      <c r="A138" s="137" t="s">
        <v>242</v>
      </c>
      <c r="B138" s="141"/>
      <c r="C138" s="136" t="s">
        <v>243</v>
      </c>
      <c r="D138" s="59">
        <v>5000</v>
      </c>
      <c r="E138" s="98">
        <v>2448</v>
      </c>
      <c r="F138" s="142"/>
      <c r="G138" s="142"/>
      <c r="H138" s="127">
        <f t="shared" si="35"/>
        <v>2448</v>
      </c>
      <c r="I138" s="52">
        <f t="shared" si="34"/>
        <v>48.96</v>
      </c>
    </row>
    <row r="139" spans="1:9" s="45" customFormat="1" x14ac:dyDescent="0.25">
      <c r="A139" s="137" t="s">
        <v>244</v>
      </c>
      <c r="B139" s="141"/>
      <c r="C139" s="136" t="s">
        <v>245</v>
      </c>
      <c r="D139" s="59">
        <v>0</v>
      </c>
      <c r="E139" s="98"/>
      <c r="F139" s="142"/>
      <c r="G139" s="142"/>
      <c r="H139" s="127">
        <f t="shared" si="35"/>
        <v>0</v>
      </c>
      <c r="I139" s="52" t="str">
        <f t="shared" si="34"/>
        <v>0</v>
      </c>
    </row>
    <row r="140" spans="1:9" s="45" customFormat="1" x14ac:dyDescent="0.25">
      <c r="A140" s="137" t="s">
        <v>246</v>
      </c>
      <c r="B140" s="141"/>
      <c r="C140" s="136" t="s">
        <v>247</v>
      </c>
      <c r="D140" s="59">
        <v>0</v>
      </c>
      <c r="E140" s="98"/>
      <c r="F140" s="142"/>
      <c r="G140" s="142"/>
      <c r="H140" s="127">
        <f t="shared" si="35"/>
        <v>0</v>
      </c>
      <c r="I140" s="52" t="str">
        <f t="shared" si="34"/>
        <v>0</v>
      </c>
    </row>
    <row r="141" spans="1:9" s="45" customFormat="1" x14ac:dyDescent="0.25">
      <c r="A141" s="137" t="s">
        <v>248</v>
      </c>
      <c r="B141" s="141"/>
      <c r="C141" s="136" t="s">
        <v>249</v>
      </c>
      <c r="D141" s="59">
        <v>0</v>
      </c>
      <c r="E141" s="98"/>
      <c r="F141" s="142"/>
      <c r="G141" s="142"/>
      <c r="H141" s="127">
        <f t="shared" si="35"/>
        <v>0</v>
      </c>
      <c r="I141" s="52" t="str">
        <f t="shared" si="34"/>
        <v>0</v>
      </c>
    </row>
    <row r="142" spans="1:9" s="45" customFormat="1" x14ac:dyDescent="0.25">
      <c r="A142" s="137" t="s">
        <v>250</v>
      </c>
      <c r="B142" s="141"/>
      <c r="C142" s="136" t="s">
        <v>251</v>
      </c>
      <c r="D142" s="59">
        <v>0</v>
      </c>
      <c r="E142" s="98"/>
      <c r="F142" s="142"/>
      <c r="G142" s="142"/>
      <c r="H142" s="127">
        <f t="shared" si="35"/>
        <v>0</v>
      </c>
      <c r="I142" s="52" t="str">
        <f t="shared" si="34"/>
        <v>0</v>
      </c>
    </row>
    <row r="143" spans="1:9" s="45" customFormat="1" x14ac:dyDescent="0.25">
      <c r="A143" s="143" t="s">
        <v>252</v>
      </c>
      <c r="B143" s="141"/>
      <c r="C143" s="136"/>
      <c r="D143" s="59"/>
      <c r="E143" s="98"/>
      <c r="F143" s="142"/>
      <c r="G143" s="142"/>
      <c r="H143" s="127"/>
      <c r="I143" s="52"/>
    </row>
    <row r="144" spans="1:9" s="45" customFormat="1" x14ac:dyDescent="0.25">
      <c r="A144" s="143" t="s">
        <v>253</v>
      </c>
      <c r="B144" s="141"/>
      <c r="C144" s="136"/>
      <c r="D144" s="59"/>
      <c r="E144" s="98"/>
      <c r="F144" s="142"/>
      <c r="G144" s="142"/>
      <c r="H144" s="127"/>
      <c r="I144" s="52"/>
    </row>
    <row r="145" spans="1:10" s="45" customFormat="1" ht="12.75" customHeight="1" x14ac:dyDescent="0.25">
      <c r="A145" s="39" t="s">
        <v>254</v>
      </c>
      <c r="B145" s="116"/>
      <c r="C145" s="117" t="s">
        <v>255</v>
      </c>
      <c r="D145" s="144">
        <f>SUM(D146:D150)</f>
        <v>674809.32000000007</v>
      </c>
      <c r="E145" s="118">
        <f>SUM(E146:E150)</f>
        <v>91267.920000000013</v>
      </c>
      <c r="F145" s="118">
        <f>SUM(F146:F150)</f>
        <v>78711.72</v>
      </c>
      <c r="G145" s="118">
        <f>SUM(G146:G150)</f>
        <v>337666.59</v>
      </c>
      <c r="H145" s="124">
        <f>SUM(H146:H150)</f>
        <v>507646.23</v>
      </c>
      <c r="I145" s="52">
        <f>H145/D145*100</f>
        <v>75.228099991268635</v>
      </c>
    </row>
    <row r="146" spans="1:10" s="45" customFormat="1" ht="12.75" customHeight="1" x14ac:dyDescent="0.25">
      <c r="A146" s="137" t="s">
        <v>256</v>
      </c>
      <c r="B146" s="141"/>
      <c r="C146" s="145" t="s">
        <v>257</v>
      </c>
      <c r="D146" s="59">
        <f>75379+265000</f>
        <v>340379</v>
      </c>
      <c r="E146" s="98">
        <v>11378.900000000001</v>
      </c>
      <c r="F146" s="99">
        <v>10800.279999999999</v>
      </c>
      <c r="G146" s="99">
        <f>43270.73+185510</f>
        <v>228780.73</v>
      </c>
      <c r="H146" s="127">
        <f>SUM(E146:G146)</f>
        <v>250959.91</v>
      </c>
      <c r="I146" s="52">
        <f>H146/D146*100</f>
        <v>73.729551470566633</v>
      </c>
    </row>
    <row r="147" spans="1:10" s="45" customFormat="1" ht="12.75" customHeight="1" x14ac:dyDescent="0.25">
      <c r="A147" s="137" t="s">
        <v>258</v>
      </c>
      <c r="B147" s="141"/>
      <c r="C147" s="145" t="s">
        <v>259</v>
      </c>
      <c r="D147" s="59">
        <v>0</v>
      </c>
      <c r="E147" s="98">
        <v>0</v>
      </c>
      <c r="F147" s="99">
        <v>0</v>
      </c>
      <c r="G147" s="99">
        <v>0</v>
      </c>
      <c r="H147" s="127">
        <f>SUM(E147:G147)</f>
        <v>0</v>
      </c>
      <c r="I147" s="52" t="str">
        <f>IFERROR(H147/D147*100,"0")</f>
        <v>0</v>
      </c>
    </row>
    <row r="148" spans="1:10" s="45" customFormat="1" ht="12.75" customHeight="1" x14ac:dyDescent="0.25">
      <c r="A148" s="137" t="s">
        <v>260</v>
      </c>
      <c r="B148" s="146"/>
      <c r="C148" s="147" t="s">
        <v>261</v>
      </c>
      <c r="D148" s="59">
        <v>69040</v>
      </c>
      <c r="E148" s="98">
        <v>9211.44</v>
      </c>
      <c r="F148" s="99">
        <v>10411.44</v>
      </c>
      <c r="G148" s="99">
        <f>82184.48-60000</f>
        <v>22184.479999999996</v>
      </c>
      <c r="H148" s="127">
        <f>SUM(E148:G148)</f>
        <v>41807.360000000001</v>
      </c>
      <c r="I148" s="52">
        <f>IFERROR(H148/D148*100,"0")</f>
        <v>60.555272305909611</v>
      </c>
    </row>
    <row r="149" spans="1:10" s="45" customFormat="1" ht="12.75" customHeight="1" x14ac:dyDescent="0.25">
      <c r="A149" s="137" t="s">
        <v>262</v>
      </c>
      <c r="B149" s="146"/>
      <c r="C149" s="147" t="s">
        <v>263</v>
      </c>
      <c r="D149" s="59">
        <f>6400+233990.32</f>
        <v>240390.32</v>
      </c>
      <c r="E149" s="98">
        <f>55011+15666.58</f>
        <v>70677.58</v>
      </c>
      <c r="F149" s="99">
        <f>53000+4500</f>
        <v>57500</v>
      </c>
      <c r="G149" s="99">
        <f>1201.38+60000</f>
        <v>61201.38</v>
      </c>
      <c r="H149" s="127">
        <f>SUM(E149:G149)</f>
        <v>189378.96</v>
      </c>
      <c r="I149" s="52">
        <f>IFERROR(H149/D149*100,"0")</f>
        <v>78.779777821336566</v>
      </c>
    </row>
    <row r="150" spans="1:10" s="45" customFormat="1" ht="12.75" customHeight="1" x14ac:dyDescent="0.25">
      <c r="A150" s="137" t="s">
        <v>264</v>
      </c>
      <c r="B150" s="141"/>
      <c r="C150" s="145" t="s">
        <v>265</v>
      </c>
      <c r="D150" s="59">
        <v>25000</v>
      </c>
      <c r="E150" s="98">
        <v>0</v>
      </c>
      <c r="F150" s="99">
        <v>0</v>
      </c>
      <c r="G150" s="99">
        <v>25500</v>
      </c>
      <c r="H150" s="127">
        <f>SUM(E150:G150)</f>
        <v>25500</v>
      </c>
      <c r="I150" s="52">
        <f>IFERROR(H150/D150*100,"0")</f>
        <v>102</v>
      </c>
    </row>
    <row r="151" spans="1:10" s="45" customFormat="1" ht="2.1" customHeight="1" x14ac:dyDescent="0.25">
      <c r="A151" s="122"/>
      <c r="B151" s="125"/>
      <c r="C151" s="148"/>
      <c r="D151" s="59"/>
      <c r="E151" s="149"/>
      <c r="F151" s="130"/>
      <c r="G151" s="130"/>
      <c r="H151" s="124"/>
      <c r="I151" s="150"/>
    </row>
    <row r="152" spans="1:10" s="45" customFormat="1" ht="28.5" customHeight="1" x14ac:dyDescent="0.25">
      <c r="A152" s="39" t="s">
        <v>266</v>
      </c>
      <c r="B152" s="250" t="s">
        <v>267</v>
      </c>
      <c r="C152" s="251"/>
      <c r="D152" s="93">
        <v>0</v>
      </c>
      <c r="E152" s="151">
        <f t="shared" ref="E152" si="36">SUM(E153:E156)</f>
        <v>95812.540000000008</v>
      </c>
      <c r="F152" s="67">
        <f>SUM(F153:F156)</f>
        <v>191411.95</v>
      </c>
      <c r="G152" s="67">
        <f>SUM(G153:G156)</f>
        <v>72429.78</v>
      </c>
      <c r="H152" s="124">
        <f>SUM(H153:H156)</f>
        <v>359654.27</v>
      </c>
      <c r="I152" s="152" t="str">
        <f>IFERROR(H152/D152*100,"0")</f>
        <v>0</v>
      </c>
    </row>
    <row r="153" spans="1:10" ht="12.75" customHeight="1" x14ac:dyDescent="0.2">
      <c r="A153" s="153" t="s">
        <v>268</v>
      </c>
      <c r="B153" s="154"/>
      <c r="C153" s="155" t="s">
        <v>269</v>
      </c>
      <c r="D153" s="156">
        <v>0</v>
      </c>
      <c r="E153" s="98">
        <v>97362.52</v>
      </c>
      <c r="F153" s="99">
        <v>97914.66</v>
      </c>
      <c r="G153" s="99">
        <f>49435.11+17061.13</f>
        <v>66496.240000000005</v>
      </c>
      <c r="H153" s="127">
        <f>SUM(E153:G153)</f>
        <v>261773.41999999998</v>
      </c>
      <c r="I153" s="152" t="str">
        <f>IFERROR(H153/D153*100,"0")</f>
        <v>0</v>
      </c>
      <c r="J153" s="5"/>
    </row>
    <row r="154" spans="1:10" ht="12.75" customHeight="1" x14ac:dyDescent="0.2">
      <c r="A154" s="153" t="s">
        <v>270</v>
      </c>
      <c r="B154" s="154"/>
      <c r="C154" s="155" t="s">
        <v>271</v>
      </c>
      <c r="D154" s="156">
        <v>0</v>
      </c>
      <c r="E154" s="98">
        <v>0</v>
      </c>
      <c r="F154" s="99">
        <v>0</v>
      </c>
      <c r="G154" s="99">
        <v>0</v>
      </c>
      <c r="H154" s="127">
        <f>SUM(E154:G154)</f>
        <v>0</v>
      </c>
      <c r="I154" s="152" t="str">
        <f>IFERROR(H154/D154*100,"0")</f>
        <v>0</v>
      </c>
      <c r="J154" s="5"/>
    </row>
    <row r="155" spans="1:10" ht="12.75" customHeight="1" x14ac:dyDescent="0.2">
      <c r="A155" s="153" t="s">
        <v>272</v>
      </c>
      <c r="B155" s="116"/>
      <c r="C155" s="155" t="s">
        <v>273</v>
      </c>
      <c r="D155" s="156">
        <v>0</v>
      </c>
      <c r="E155" s="98">
        <v>0</v>
      </c>
      <c r="F155" s="99">
        <v>0</v>
      </c>
      <c r="G155" s="99">
        <v>0</v>
      </c>
      <c r="H155" s="127">
        <f>SUM(E155:G155)</f>
        <v>0</v>
      </c>
      <c r="I155" s="152" t="str">
        <f>IFERROR(H155/D155*100,"0")</f>
        <v>0</v>
      </c>
      <c r="J155" s="5"/>
    </row>
    <row r="156" spans="1:10" ht="12.75" customHeight="1" x14ac:dyDescent="0.2">
      <c r="A156" s="153" t="s">
        <v>274</v>
      </c>
      <c r="B156" s="116"/>
      <c r="C156" s="155" t="s">
        <v>275</v>
      </c>
      <c r="D156" s="156">
        <v>0</v>
      </c>
      <c r="E156" s="98">
        <v>-1549.98</v>
      </c>
      <c r="F156" s="99">
        <v>93497.290000000008</v>
      </c>
      <c r="G156" s="99">
        <v>5933.54</v>
      </c>
      <c r="H156" s="127">
        <f>SUM(E156:G156)</f>
        <v>97880.85</v>
      </c>
      <c r="I156" s="152" t="str">
        <f>IFERROR(H156/D156*100,"0")</f>
        <v>0</v>
      </c>
      <c r="J156" s="5"/>
    </row>
    <row r="157" spans="1:10" x14ac:dyDescent="0.2">
      <c r="A157" s="157"/>
      <c r="B157" s="117"/>
      <c r="C157" s="117"/>
      <c r="D157" s="158"/>
      <c r="E157" s="158"/>
      <c r="F157" s="159"/>
      <c r="G157" s="159"/>
      <c r="H157" s="160"/>
      <c r="I157" s="161"/>
      <c r="J157" s="5"/>
    </row>
    <row r="158" spans="1:10" s="45" customFormat="1" ht="24.95" customHeight="1" x14ac:dyDescent="0.25">
      <c r="A158" s="162">
        <v>7</v>
      </c>
      <c r="B158" s="252" t="s">
        <v>276</v>
      </c>
      <c r="C158" s="253"/>
      <c r="D158" s="120">
        <f>D40-D52</f>
        <v>3.1892284750938416E-3</v>
      </c>
      <c r="E158" s="130">
        <f>E40-E52</f>
        <v>-288362.91000000015</v>
      </c>
      <c r="F158" s="119">
        <f t="shared" ref="F158:G158" si="37">F40-F52</f>
        <v>0</v>
      </c>
      <c r="G158" s="120">
        <f t="shared" si="37"/>
        <v>288362.90600000136</v>
      </c>
      <c r="H158" s="130">
        <f>H40-H52</f>
        <v>-4.0000006556510925E-3</v>
      </c>
      <c r="I158" s="115"/>
    </row>
    <row r="159" spans="1:10" ht="23.65" customHeight="1" x14ac:dyDescent="0.2">
      <c r="A159" s="163"/>
      <c r="B159" s="164"/>
      <c r="C159" s="164"/>
      <c r="D159" s="165"/>
      <c r="E159" s="165"/>
      <c r="F159" s="165"/>
      <c r="G159" s="166"/>
      <c r="H159" s="166"/>
      <c r="I159" s="167"/>
      <c r="J159" s="167"/>
    </row>
    <row r="160" spans="1:10" s="45" customFormat="1" ht="16.5" customHeight="1" x14ac:dyDescent="0.2">
      <c r="A160" s="168" t="s">
        <v>277</v>
      </c>
      <c r="B160" s="78"/>
      <c r="C160" s="78"/>
      <c r="D160" s="80"/>
      <c r="E160" s="80"/>
      <c r="F160" s="80"/>
      <c r="G160" s="83"/>
      <c r="H160" s="83"/>
      <c r="I160" s="169"/>
      <c r="J160" s="169"/>
    </row>
    <row r="161" spans="1:10" ht="11.25" customHeight="1" x14ac:dyDescent="0.2">
      <c r="A161" s="163"/>
      <c r="B161" s="7"/>
      <c r="C161" s="7"/>
      <c r="D161" s="85"/>
      <c r="E161" s="85"/>
      <c r="F161" s="85"/>
    </row>
    <row r="162" spans="1:10" ht="27" customHeight="1" x14ac:dyDescent="0.2">
      <c r="A162" s="163"/>
      <c r="B162" s="7"/>
      <c r="C162" s="7"/>
      <c r="D162" s="88" t="s">
        <v>57</v>
      </c>
      <c r="E162" s="34" t="s">
        <v>13</v>
      </c>
      <c r="F162" s="35" t="s">
        <v>14</v>
      </c>
      <c r="G162" s="34" t="s">
        <v>15</v>
      </c>
      <c r="H162" s="170" t="s">
        <v>16</v>
      </c>
      <c r="I162" s="89" t="s">
        <v>17</v>
      </c>
      <c r="J162" s="171"/>
    </row>
    <row r="163" spans="1:10" ht="3" customHeight="1" x14ac:dyDescent="0.2">
      <c r="A163" s="163"/>
      <c r="B163" s="7"/>
      <c r="C163" s="7"/>
      <c r="D163" s="172"/>
      <c r="E163" s="3"/>
      <c r="F163" s="86"/>
      <c r="G163" s="2"/>
      <c r="H163" s="2"/>
      <c r="I163" s="173"/>
      <c r="J163" s="87"/>
    </row>
    <row r="164" spans="1:10" x14ac:dyDescent="0.2">
      <c r="A164" s="39">
        <v>8</v>
      </c>
      <c r="B164" s="241" t="s">
        <v>278</v>
      </c>
      <c r="C164" s="242"/>
      <c r="D164" s="174">
        <f>SUM(D165:D171)</f>
        <v>200000</v>
      </c>
      <c r="E164" s="175">
        <f>SUM(E165:E170)</f>
        <v>43617</v>
      </c>
      <c r="F164" s="175">
        <f>SUM(F165:F170)</f>
        <v>21749.22</v>
      </c>
      <c r="G164" s="175">
        <f>SUM(G166:G171)</f>
        <v>181452.28</v>
      </c>
      <c r="H164" s="176">
        <f>SUM(E164:G164)</f>
        <v>246818.5</v>
      </c>
      <c r="I164" s="177"/>
      <c r="J164" s="178"/>
    </row>
    <row r="165" spans="1:10" ht="12.75" customHeight="1" x14ac:dyDescent="0.2">
      <c r="A165" s="179" t="s">
        <v>279</v>
      </c>
      <c r="B165" s="20"/>
      <c r="C165" s="180" t="s">
        <v>280</v>
      </c>
      <c r="D165" s="156">
        <v>0</v>
      </c>
      <c r="E165" s="149">
        <v>10380</v>
      </c>
      <c r="F165" s="99">
        <v>20884.990000000002</v>
      </c>
      <c r="G165" s="99">
        <v>9641.1</v>
      </c>
      <c r="H165" s="181">
        <f t="shared" ref="H165:H171" si="38">SUM(E165:G165)</f>
        <v>40906.090000000004</v>
      </c>
      <c r="I165" s="177"/>
      <c r="J165" s="178"/>
    </row>
    <row r="166" spans="1:10" ht="12.75" customHeight="1" x14ac:dyDescent="0.2">
      <c r="A166" s="179" t="s">
        <v>281</v>
      </c>
      <c r="B166" s="20"/>
      <c r="C166" s="180" t="s">
        <v>282</v>
      </c>
      <c r="D166" s="156">
        <v>0</v>
      </c>
      <c r="E166" s="149">
        <v>0</v>
      </c>
      <c r="F166" s="99">
        <v>864.23</v>
      </c>
      <c r="G166" s="99">
        <v>28423.75</v>
      </c>
      <c r="H166" s="181">
        <f t="shared" si="38"/>
        <v>29287.98</v>
      </c>
      <c r="I166" s="177"/>
      <c r="J166" s="178"/>
    </row>
    <row r="167" spans="1:10" ht="12.75" customHeight="1" x14ac:dyDescent="0.2">
      <c r="A167" s="179" t="s">
        <v>283</v>
      </c>
      <c r="B167" s="182"/>
      <c r="C167" s="183" t="s">
        <v>284</v>
      </c>
      <c r="D167" s="156">
        <v>0</v>
      </c>
      <c r="E167" s="149">
        <v>0</v>
      </c>
      <c r="F167" s="99">
        <v>0</v>
      </c>
      <c r="G167" s="99">
        <v>0</v>
      </c>
      <c r="H167" s="181">
        <f t="shared" si="38"/>
        <v>0</v>
      </c>
      <c r="I167" s="184"/>
      <c r="J167" s="185"/>
    </row>
    <row r="168" spans="1:10" ht="12.75" customHeight="1" x14ac:dyDescent="0.2">
      <c r="A168" s="179" t="s">
        <v>285</v>
      </c>
      <c r="B168" s="20"/>
      <c r="C168" s="180" t="s">
        <v>286</v>
      </c>
      <c r="D168" s="156">
        <v>0</v>
      </c>
      <c r="E168" s="149">
        <v>33237</v>
      </c>
      <c r="F168" s="99">
        <v>0</v>
      </c>
      <c r="G168" s="99">
        <v>23890.400000000001</v>
      </c>
      <c r="H168" s="181">
        <f t="shared" si="38"/>
        <v>57127.4</v>
      </c>
      <c r="I168" s="184"/>
      <c r="J168" s="185"/>
    </row>
    <row r="169" spans="1:10" ht="12.75" customHeight="1" x14ac:dyDescent="0.2">
      <c r="A169" s="179" t="s">
        <v>287</v>
      </c>
      <c r="B169" s="20"/>
      <c r="C169" s="180" t="s">
        <v>288</v>
      </c>
      <c r="D169" s="156">
        <v>0</v>
      </c>
      <c r="E169" s="149">
        <v>0</v>
      </c>
      <c r="F169" s="99">
        <v>0</v>
      </c>
      <c r="G169" s="99">
        <v>0</v>
      </c>
      <c r="H169" s="181">
        <f t="shared" si="38"/>
        <v>0</v>
      </c>
      <c r="I169" s="184"/>
      <c r="J169" s="185"/>
    </row>
    <row r="170" spans="1:10" ht="12.75" customHeight="1" x14ac:dyDescent="0.2">
      <c r="A170" s="179" t="s">
        <v>289</v>
      </c>
      <c r="B170" s="20"/>
      <c r="C170" s="180" t="s">
        <v>290</v>
      </c>
      <c r="D170" s="156">
        <v>0</v>
      </c>
      <c r="E170" s="149">
        <v>0</v>
      </c>
      <c r="F170" s="99">
        <v>0</v>
      </c>
      <c r="G170" s="99">
        <v>0</v>
      </c>
      <c r="H170" s="181">
        <f t="shared" si="38"/>
        <v>0</v>
      </c>
      <c r="I170" s="184"/>
      <c r="J170" s="185"/>
    </row>
    <row r="171" spans="1:10" ht="12.75" customHeight="1" x14ac:dyDescent="0.2">
      <c r="A171" s="179" t="s">
        <v>291</v>
      </c>
      <c r="B171" s="20"/>
      <c r="C171" s="180" t="s">
        <v>292</v>
      </c>
      <c r="D171" s="156">
        <v>200000</v>
      </c>
      <c r="E171" s="149">
        <v>57575.94</v>
      </c>
      <c r="F171" s="99">
        <v>188936.46</v>
      </c>
      <c r="G171" s="99">
        <v>129138.13</v>
      </c>
      <c r="H171" s="181">
        <f t="shared" si="38"/>
        <v>375650.53</v>
      </c>
      <c r="I171" s="184"/>
      <c r="J171" s="185"/>
    </row>
    <row r="172" spans="1:10" ht="20.100000000000001" customHeight="1" x14ac:dyDescent="0.2">
      <c r="A172" s="163"/>
      <c r="B172" s="7"/>
      <c r="C172" s="7"/>
      <c r="D172" s="85"/>
      <c r="E172" s="85"/>
      <c r="F172" s="85"/>
      <c r="I172" s="186"/>
      <c r="J172" s="186"/>
    </row>
    <row r="173" spans="1:10" ht="27.95" customHeight="1" x14ac:dyDescent="0.2">
      <c r="A173" s="39">
        <v>9</v>
      </c>
      <c r="B173" s="254" t="s">
        <v>293</v>
      </c>
      <c r="C173" s="255"/>
      <c r="D173" s="93">
        <f>SUM(D174:D180)</f>
        <v>6730000</v>
      </c>
      <c r="E173" s="175">
        <f>SUM(E174:E180)</f>
        <v>0</v>
      </c>
      <c r="F173" s="175">
        <f>SUM(F174:F180)</f>
        <v>0</v>
      </c>
      <c r="G173" s="175">
        <f>SUM(G174:G180)</f>
        <v>0</v>
      </c>
      <c r="H173" s="176"/>
      <c r="I173" s="187"/>
      <c r="J173" s="188"/>
    </row>
    <row r="174" spans="1:10" s="191" customFormat="1" x14ac:dyDescent="0.2">
      <c r="A174" s="179" t="s">
        <v>294</v>
      </c>
      <c r="B174" s="20"/>
      <c r="C174" s="180" t="s">
        <v>280</v>
      </c>
      <c r="D174" s="156">
        <v>0</v>
      </c>
      <c r="E174" s="189"/>
      <c r="F174" s="190"/>
      <c r="G174" s="190"/>
      <c r="H174" s="176"/>
      <c r="I174" s="187"/>
      <c r="J174" s="188"/>
    </row>
    <row r="175" spans="1:10" s="191" customFormat="1" x14ac:dyDescent="0.2">
      <c r="A175" s="179" t="s">
        <v>295</v>
      </c>
      <c r="B175" s="182"/>
      <c r="C175" s="180" t="s">
        <v>282</v>
      </c>
      <c r="D175" s="156">
        <v>0</v>
      </c>
      <c r="E175" s="189"/>
      <c r="F175" s="190"/>
      <c r="G175" s="190"/>
      <c r="H175" s="176"/>
      <c r="I175" s="187"/>
      <c r="J175" s="188"/>
    </row>
    <row r="176" spans="1:10" s="191" customFormat="1" x14ac:dyDescent="0.2">
      <c r="A176" s="179" t="s">
        <v>296</v>
      </c>
      <c r="B176" s="20"/>
      <c r="C176" s="183" t="s">
        <v>284</v>
      </c>
      <c r="D176" s="156">
        <v>0</v>
      </c>
      <c r="E176" s="189"/>
      <c r="F176" s="190"/>
      <c r="G176" s="190"/>
      <c r="H176" s="176"/>
      <c r="I176" s="187"/>
      <c r="J176" s="188"/>
    </row>
    <row r="177" spans="1:10" s="191" customFormat="1" x14ac:dyDescent="0.2">
      <c r="A177" s="179" t="s">
        <v>297</v>
      </c>
      <c r="B177" s="20"/>
      <c r="C177" s="180" t="s">
        <v>286</v>
      </c>
      <c r="D177" s="156">
        <v>0</v>
      </c>
      <c r="E177" s="189"/>
      <c r="F177" s="190"/>
      <c r="G177" s="190"/>
      <c r="H177" s="176"/>
      <c r="I177" s="187"/>
      <c r="J177" s="188"/>
    </row>
    <row r="178" spans="1:10" s="191" customFormat="1" x14ac:dyDescent="0.2">
      <c r="A178" s="179" t="s">
        <v>298</v>
      </c>
      <c r="B178" s="20"/>
      <c r="C178" s="180" t="s">
        <v>288</v>
      </c>
      <c r="D178" s="156">
        <v>0</v>
      </c>
      <c r="E178" s="189"/>
      <c r="F178" s="190"/>
      <c r="G178" s="190"/>
      <c r="H178" s="176"/>
      <c r="I178" s="187"/>
      <c r="J178" s="188"/>
    </row>
    <row r="179" spans="1:10" s="191" customFormat="1" x14ac:dyDescent="0.2">
      <c r="A179" s="179" t="s">
        <v>299</v>
      </c>
      <c r="B179" s="20"/>
      <c r="C179" s="180" t="s">
        <v>290</v>
      </c>
      <c r="D179" s="156">
        <v>0</v>
      </c>
      <c r="E179" s="189">
        <v>0</v>
      </c>
      <c r="F179" s="190">
        <v>0</v>
      </c>
      <c r="G179" s="190">
        <v>0</v>
      </c>
      <c r="H179" s="176"/>
      <c r="I179" s="187"/>
      <c r="J179" s="188"/>
    </row>
    <row r="180" spans="1:10" s="191" customFormat="1" ht="25.5" x14ac:dyDescent="0.2">
      <c r="A180" s="179" t="s">
        <v>300</v>
      </c>
      <c r="B180" s="20"/>
      <c r="C180" s="234" t="s">
        <v>365</v>
      </c>
      <c r="D180" s="62">
        <v>6730000</v>
      </c>
      <c r="E180" s="235">
        <v>0</v>
      </c>
      <c r="F180" s="236">
        <v>0</v>
      </c>
      <c r="G180" s="236">
        <v>0</v>
      </c>
      <c r="H180" s="237"/>
      <c r="I180" s="187"/>
      <c r="J180" s="188"/>
    </row>
    <row r="181" spans="1:10" s="45" customFormat="1" ht="20.100000000000001" customHeight="1" x14ac:dyDescent="0.2">
      <c r="A181" s="163"/>
      <c r="B181" s="107"/>
      <c r="C181" s="107"/>
      <c r="D181" s="108"/>
      <c r="E181" s="108"/>
      <c r="F181" s="108"/>
      <c r="G181" s="83"/>
      <c r="H181" s="83"/>
      <c r="I181" s="192"/>
      <c r="J181" s="192"/>
    </row>
    <row r="182" spans="1:10" x14ac:dyDescent="0.2">
      <c r="A182" s="39">
        <v>10</v>
      </c>
      <c r="B182" s="241" t="s">
        <v>302</v>
      </c>
      <c r="C182" s="242" t="s">
        <v>303</v>
      </c>
      <c r="D182" s="93">
        <f>SUM(D183:D189)</f>
        <v>4430393.84</v>
      </c>
      <c r="E182" s="130">
        <f>SUM(E183:E189)</f>
        <v>344707.89999999997</v>
      </c>
      <c r="F182" s="119">
        <f>SUM(F183:F189)</f>
        <v>108417.4</v>
      </c>
      <c r="G182" s="119">
        <f>SUM(G183:G189)</f>
        <v>238590.51</v>
      </c>
      <c r="H182" s="176">
        <f>SUM(E182:G182)</f>
        <v>691715.80999999994</v>
      </c>
      <c r="I182" s="89"/>
      <c r="J182" s="171"/>
    </row>
    <row r="183" spans="1:10" s="191" customFormat="1" x14ac:dyDescent="0.2">
      <c r="A183" s="193" t="s">
        <v>304</v>
      </c>
      <c r="B183" s="20"/>
      <c r="C183" s="180" t="s">
        <v>280</v>
      </c>
      <c r="D183" s="59">
        <v>348066</v>
      </c>
      <c r="E183" s="21">
        <v>67288</v>
      </c>
      <c r="F183" s="21">
        <v>0</v>
      </c>
      <c r="G183" s="190">
        <v>186865.51</v>
      </c>
      <c r="H183" s="176">
        <f t="shared" ref="H183:H189" si="39">SUM(E183:G183)</f>
        <v>254153.51</v>
      </c>
      <c r="I183" s="177"/>
      <c r="J183" s="178"/>
    </row>
    <row r="184" spans="1:10" s="191" customFormat="1" x14ac:dyDescent="0.2">
      <c r="A184" s="193" t="s">
        <v>305</v>
      </c>
      <c r="B184" s="182"/>
      <c r="C184" s="180" t="s">
        <v>282</v>
      </c>
      <c r="D184" s="59">
        <v>18000</v>
      </c>
      <c r="E184" s="21">
        <v>253207.19</v>
      </c>
      <c r="F184" s="190">
        <v>0</v>
      </c>
      <c r="G184" s="190">
        <v>0</v>
      </c>
      <c r="H184" s="176">
        <f t="shared" si="39"/>
        <v>253207.19</v>
      </c>
      <c r="I184" s="177"/>
      <c r="J184" s="178"/>
    </row>
    <row r="185" spans="1:10" s="191" customFormat="1" x14ac:dyDescent="0.2">
      <c r="A185" s="193" t="s">
        <v>306</v>
      </c>
      <c r="B185" s="20"/>
      <c r="C185" s="183" t="s">
        <v>284</v>
      </c>
      <c r="D185" s="59">
        <v>13500</v>
      </c>
      <c r="E185" s="21">
        <v>987.91</v>
      </c>
      <c r="F185" s="190">
        <v>0</v>
      </c>
      <c r="G185" s="190">
        <v>0</v>
      </c>
      <c r="H185" s="176">
        <f t="shared" si="39"/>
        <v>987.91</v>
      </c>
      <c r="I185" s="177"/>
      <c r="J185" s="178"/>
    </row>
    <row r="186" spans="1:10" s="191" customFormat="1" x14ac:dyDescent="0.2">
      <c r="A186" s="193" t="s">
        <v>307</v>
      </c>
      <c r="B186" s="20"/>
      <c r="C186" s="180" t="s">
        <v>286</v>
      </c>
      <c r="D186" s="59">
        <v>421093</v>
      </c>
      <c r="E186" s="21">
        <v>23224.799999999988</v>
      </c>
      <c r="F186" s="190">
        <v>108417.4</v>
      </c>
      <c r="G186" s="190">
        <v>51725</v>
      </c>
      <c r="H186" s="176">
        <f t="shared" si="39"/>
        <v>183367.19999999998</v>
      </c>
      <c r="I186" s="177"/>
      <c r="J186" s="178"/>
    </row>
    <row r="187" spans="1:10" s="191" customFormat="1" x14ac:dyDescent="0.2">
      <c r="A187" s="193" t="s">
        <v>308</v>
      </c>
      <c r="B187" s="20"/>
      <c r="C187" s="180" t="s">
        <v>288</v>
      </c>
      <c r="D187" s="59"/>
      <c r="E187" s="175">
        <v>0</v>
      </c>
      <c r="F187" s="190">
        <v>0</v>
      </c>
      <c r="G187" s="190">
        <v>0</v>
      </c>
      <c r="H187" s="176">
        <f t="shared" si="39"/>
        <v>0</v>
      </c>
      <c r="I187" s="177"/>
      <c r="J187" s="178"/>
    </row>
    <row r="188" spans="1:10" s="191" customFormat="1" x14ac:dyDescent="0.2">
      <c r="A188" s="193" t="s">
        <v>309</v>
      </c>
      <c r="B188" s="20"/>
      <c r="C188" s="180" t="s">
        <v>290</v>
      </c>
      <c r="D188" s="59"/>
      <c r="E188" s="21">
        <v>0</v>
      </c>
      <c r="F188" s="190">
        <v>0</v>
      </c>
      <c r="G188" s="190">
        <v>0</v>
      </c>
      <c r="H188" s="176">
        <f t="shared" si="39"/>
        <v>0</v>
      </c>
      <c r="I188" s="177"/>
      <c r="J188" s="178"/>
    </row>
    <row r="189" spans="1:10" s="191" customFormat="1" x14ac:dyDescent="0.2">
      <c r="A189" s="193" t="s">
        <v>310</v>
      </c>
      <c r="B189" s="20"/>
      <c r="C189" s="180" t="s">
        <v>301</v>
      </c>
      <c r="D189" s="59">
        <v>3629734.84</v>
      </c>
      <c r="E189" s="21">
        <v>0</v>
      </c>
      <c r="F189" s="190">
        <v>0</v>
      </c>
      <c r="G189" s="190">
        <v>0</v>
      </c>
      <c r="H189" s="176">
        <f t="shared" si="39"/>
        <v>0</v>
      </c>
      <c r="I189" s="177"/>
      <c r="J189" s="178"/>
    </row>
    <row r="190" spans="1:10" ht="24" customHeight="1" x14ac:dyDescent="0.2">
      <c r="A190" s="163"/>
      <c r="D190" s="194"/>
      <c r="E190" s="194"/>
      <c r="F190" s="194"/>
    </row>
    <row r="191" spans="1:10" s="45" customFormat="1" ht="16.5" customHeight="1" x14ac:dyDescent="0.2">
      <c r="A191" s="168" t="s">
        <v>311</v>
      </c>
      <c r="B191" s="78"/>
      <c r="C191" s="78"/>
      <c r="D191" s="80"/>
      <c r="E191" s="80"/>
      <c r="F191" s="80"/>
      <c r="G191" s="83"/>
      <c r="H191" s="83"/>
      <c r="I191" s="169"/>
      <c r="J191" s="169"/>
    </row>
    <row r="192" spans="1:10" s="45" customFormat="1" ht="16.5" customHeight="1" x14ac:dyDescent="0.2">
      <c r="A192" s="168"/>
      <c r="B192" s="78"/>
      <c r="C192" s="78"/>
      <c r="D192" s="80"/>
      <c r="E192" s="80"/>
      <c r="F192" s="80"/>
      <c r="G192" s="83"/>
      <c r="H192" s="83"/>
      <c r="I192" s="169"/>
      <c r="J192" s="169"/>
    </row>
    <row r="193" spans="1:10" s="45" customFormat="1" ht="16.5" customHeight="1" x14ac:dyDescent="0.2">
      <c r="A193" s="168"/>
      <c r="B193" s="78"/>
      <c r="C193" s="78"/>
      <c r="D193" s="80"/>
      <c r="E193" s="80"/>
      <c r="F193" s="80"/>
      <c r="G193" s="83"/>
      <c r="H193" s="83"/>
      <c r="I193" s="169"/>
      <c r="J193" s="169"/>
    </row>
    <row r="194" spans="1:10" ht="27" customHeight="1" x14ac:dyDescent="0.2">
      <c r="A194" s="163"/>
      <c r="B194" s="7"/>
      <c r="C194" s="7"/>
      <c r="D194" s="88" t="s">
        <v>57</v>
      </c>
      <c r="E194" s="34" t="s">
        <v>13</v>
      </c>
      <c r="F194" s="35" t="s">
        <v>14</v>
      </c>
      <c r="G194" s="88" t="s">
        <v>15</v>
      </c>
      <c r="H194" s="34" t="s">
        <v>16</v>
      </c>
      <c r="I194" s="89" t="s">
        <v>17</v>
      </c>
    </row>
    <row r="195" spans="1:10" s="38" customFormat="1" x14ac:dyDescent="0.2">
      <c r="A195" s="195">
        <v>11</v>
      </c>
      <c r="B195" s="109" t="s">
        <v>312</v>
      </c>
      <c r="C195" s="110"/>
      <c r="D195" s="88"/>
      <c r="E195" s="34">
        <f>SUM(E196:E201)</f>
        <v>18704393.699999999</v>
      </c>
      <c r="F195" s="34">
        <f>SUM(F196:F201)</f>
        <v>10516444.039999999</v>
      </c>
      <c r="G195" s="34">
        <f>SUM(G196:G201)</f>
        <v>58655616.630000003</v>
      </c>
      <c r="H195" s="196"/>
      <c r="I195" s="89"/>
      <c r="J195" s="197" t="s">
        <v>313</v>
      </c>
    </row>
    <row r="196" spans="1:10" s="191" customFormat="1" ht="15" customHeight="1" x14ac:dyDescent="0.2">
      <c r="A196" s="193" t="s">
        <v>314</v>
      </c>
      <c r="B196" s="198" t="s">
        <v>315</v>
      </c>
      <c r="C196" s="199"/>
      <c r="D196" s="200">
        <v>0</v>
      </c>
      <c r="E196" s="201">
        <v>2038655.66</v>
      </c>
      <c r="F196" s="202">
        <v>0</v>
      </c>
      <c r="G196" s="203">
        <v>0</v>
      </c>
      <c r="H196" s="196"/>
      <c r="I196" s="204"/>
      <c r="J196" s="188"/>
    </row>
    <row r="197" spans="1:10" s="191" customFormat="1" ht="15" customHeight="1" x14ac:dyDescent="0.2">
      <c r="A197" s="193" t="s">
        <v>316</v>
      </c>
      <c r="B197" s="20" t="s">
        <v>317</v>
      </c>
      <c r="C197" s="180"/>
      <c r="D197" s="156">
        <v>0</v>
      </c>
      <c r="E197" s="21">
        <f>20986978-E41</f>
        <v>15162679.629999999</v>
      </c>
      <c r="F197" s="21">
        <v>8781558.0700000003</v>
      </c>
      <c r="G197" s="21">
        <v>1751219.91</v>
      </c>
      <c r="H197" s="205"/>
      <c r="I197" s="187"/>
      <c r="J197" s="206" t="s">
        <v>318</v>
      </c>
    </row>
    <row r="198" spans="1:10" s="191" customFormat="1" ht="15" customHeight="1" x14ac:dyDescent="0.2">
      <c r="A198" s="193" t="s">
        <v>319</v>
      </c>
      <c r="B198" s="182" t="s">
        <v>320</v>
      </c>
      <c r="C198" s="183"/>
      <c r="D198" s="156">
        <v>0</v>
      </c>
      <c r="E198" s="21">
        <v>1305708.8400000001</v>
      </c>
      <c r="F198" s="207">
        <v>1305708.8400000001</v>
      </c>
      <c r="G198" s="21">
        <v>1305708.8400000001</v>
      </c>
      <c r="H198" s="205"/>
      <c r="I198" s="187"/>
      <c r="J198" s="206" t="s">
        <v>321</v>
      </c>
    </row>
    <row r="199" spans="1:10" s="191" customFormat="1" ht="15" customHeight="1" x14ac:dyDescent="0.2">
      <c r="A199" s="193" t="s">
        <v>322</v>
      </c>
      <c r="B199" s="20" t="s">
        <v>323</v>
      </c>
      <c r="C199" s="180"/>
      <c r="D199" s="156">
        <v>0</v>
      </c>
      <c r="E199" s="21">
        <v>241056.57</v>
      </c>
      <c r="F199" s="207">
        <v>450926.35</v>
      </c>
      <c r="G199" s="21">
        <v>660796.13</v>
      </c>
      <c r="H199" s="205"/>
      <c r="I199" s="187"/>
      <c r="J199" s="206" t="s">
        <v>321</v>
      </c>
    </row>
    <row r="200" spans="1:10" s="191" customFormat="1" ht="15" customHeight="1" x14ac:dyDescent="0.2">
      <c r="A200" s="193" t="s">
        <v>324</v>
      </c>
      <c r="B200" s="208" t="s">
        <v>325</v>
      </c>
      <c r="C200" s="164"/>
      <c r="D200" s="209">
        <v>0</v>
      </c>
      <c r="E200" s="210">
        <f>-10380-33327</f>
        <v>-43707</v>
      </c>
      <c r="F200" s="210">
        <v>-21749.22</v>
      </c>
      <c r="G200" s="21">
        <v>-61955.25</v>
      </c>
      <c r="H200" s="205"/>
      <c r="I200" s="211"/>
      <c r="J200" s="206" t="s">
        <v>326</v>
      </c>
    </row>
    <row r="201" spans="1:10" s="191" customFormat="1" ht="15" customHeight="1" x14ac:dyDescent="0.2">
      <c r="A201" s="238" t="s">
        <v>368</v>
      </c>
      <c r="B201" s="208" t="s">
        <v>369</v>
      </c>
      <c r="C201" s="164"/>
      <c r="D201" s="209"/>
      <c r="E201" s="210">
        <v>0</v>
      </c>
      <c r="F201" s="210">
        <v>0</v>
      </c>
      <c r="G201" s="21">
        <v>54999847</v>
      </c>
      <c r="H201" s="205"/>
      <c r="I201" s="211"/>
      <c r="J201" s="206"/>
    </row>
    <row r="202" spans="1:10" s="104" customFormat="1" x14ac:dyDescent="0.25">
      <c r="A202" s="195" t="s">
        <v>327</v>
      </c>
      <c r="B202" s="212" t="s">
        <v>328</v>
      </c>
      <c r="C202" s="213"/>
      <c r="D202" s="214">
        <v>0</v>
      </c>
      <c r="E202" s="215">
        <f>E203+E205</f>
        <v>17681659.109999999</v>
      </c>
      <c r="F202" s="106">
        <f t="shared" ref="F202" si="40">SUM(F203:F205)</f>
        <v>16227768.699999999</v>
      </c>
      <c r="G202" s="215">
        <f>G203</f>
        <v>25898172.530000001</v>
      </c>
      <c r="H202" s="216"/>
      <c r="I202" s="70"/>
      <c r="J202" s="82"/>
    </row>
    <row r="203" spans="1:10" s="104" customFormat="1" ht="15" customHeight="1" x14ac:dyDescent="0.2">
      <c r="A203" s="193" t="s">
        <v>329</v>
      </c>
      <c r="B203" s="208" t="s">
        <v>330</v>
      </c>
      <c r="C203" s="164"/>
      <c r="D203" s="209">
        <v>0</v>
      </c>
      <c r="E203" s="210">
        <f>21875098.02+288848.8-283502.81+96871</f>
        <v>21977315.010000002</v>
      </c>
      <c r="F203" s="210">
        <v>16227769.699999999</v>
      </c>
      <c r="G203" s="21">
        <v>25898172.530000001</v>
      </c>
      <c r="H203" s="205"/>
      <c r="I203" s="211"/>
      <c r="J203" s="82"/>
    </row>
    <row r="204" spans="1:10" s="104" customFormat="1" ht="15" customHeight="1" x14ac:dyDescent="0.2">
      <c r="A204" s="193" t="s">
        <v>331</v>
      </c>
      <c r="B204" s="208" t="s">
        <v>332</v>
      </c>
      <c r="C204" s="164"/>
      <c r="D204" s="209"/>
      <c r="E204" s="21">
        <f>E44</f>
        <v>4295655.9000000004</v>
      </c>
      <c r="F204" s="210">
        <v>3100614.52</v>
      </c>
      <c r="G204" s="21">
        <f>G44</f>
        <v>4591150.7999999989</v>
      </c>
      <c r="H204" s="205"/>
      <c r="I204" s="211"/>
      <c r="J204" s="82"/>
    </row>
    <row r="205" spans="1:10" ht="15" customHeight="1" x14ac:dyDescent="0.2">
      <c r="A205" s="193" t="s">
        <v>333</v>
      </c>
      <c r="B205" s="208" t="s">
        <v>334</v>
      </c>
      <c r="C205" s="164"/>
      <c r="D205" s="209"/>
      <c r="E205" s="210">
        <f>-E204</f>
        <v>-4295655.9000000004</v>
      </c>
      <c r="F205" s="210">
        <v>-3100615.52</v>
      </c>
      <c r="G205" s="21">
        <v>-4591150.8</v>
      </c>
      <c r="H205" s="205"/>
      <c r="I205" s="211"/>
      <c r="J205" s="86"/>
    </row>
    <row r="206" spans="1:10" s="38" customFormat="1" x14ac:dyDescent="0.2">
      <c r="A206" s="195">
        <v>13</v>
      </c>
      <c r="B206" s="217" t="s">
        <v>335</v>
      </c>
      <c r="C206" s="218"/>
      <c r="D206" s="88"/>
      <c r="E206" s="34"/>
      <c r="F206" s="35"/>
      <c r="G206" s="34"/>
      <c r="H206" s="205"/>
      <c r="I206" s="89"/>
      <c r="J206" s="171"/>
    </row>
    <row r="207" spans="1:10" s="191" customFormat="1" ht="15" customHeight="1" x14ac:dyDescent="0.25">
      <c r="A207" s="219" t="s">
        <v>336</v>
      </c>
      <c r="B207" s="199" t="s">
        <v>337</v>
      </c>
      <c r="C207" s="199"/>
      <c r="D207" s="200">
        <v>0</v>
      </c>
      <c r="E207" s="220">
        <f>3661822.39+842016.92</f>
        <v>4503839.3100000005</v>
      </c>
      <c r="F207" s="202">
        <v>3133460.55</v>
      </c>
      <c r="G207" s="202">
        <v>2389857.4</v>
      </c>
      <c r="H207" s="221"/>
      <c r="I207" s="204"/>
      <c r="J207" s="222"/>
    </row>
    <row r="208" spans="1:10" s="191" customFormat="1" ht="15" customHeight="1" x14ac:dyDescent="0.25">
      <c r="A208" s="219" t="s">
        <v>338</v>
      </c>
      <c r="B208" s="180" t="s">
        <v>339</v>
      </c>
      <c r="C208" s="180"/>
      <c r="D208" s="156">
        <v>0</v>
      </c>
      <c r="E208" s="160">
        <f>931359.08+6969.49</f>
        <v>938328.57</v>
      </c>
      <c r="F208" s="202">
        <v>2812696.04</v>
      </c>
      <c r="G208" s="202">
        <v>1946618.96</v>
      </c>
      <c r="H208" s="221"/>
      <c r="I208" s="187"/>
      <c r="J208" s="222"/>
    </row>
    <row r="209" spans="1:13" s="191" customFormat="1" ht="15" customHeight="1" x14ac:dyDescent="0.2">
      <c r="A209" s="219" t="s">
        <v>340</v>
      </c>
      <c r="B209" s="20" t="s">
        <v>341</v>
      </c>
      <c r="C209" s="180"/>
      <c r="D209" s="156">
        <v>0</v>
      </c>
      <c r="E209" s="160">
        <v>19129300.09</v>
      </c>
      <c r="F209" s="202">
        <v>17064511.039999999</v>
      </c>
      <c r="G209" s="202">
        <v>20564153.469999999</v>
      </c>
      <c r="H209" s="223"/>
      <c r="I209" s="187"/>
      <c r="J209" s="188"/>
    </row>
    <row r="210" spans="1:13" s="191" customFormat="1" ht="15" customHeight="1" x14ac:dyDescent="0.25">
      <c r="A210" s="219" t="s">
        <v>342</v>
      </c>
      <c r="B210" s="180" t="s">
        <v>343</v>
      </c>
      <c r="C210" s="183"/>
      <c r="D210" s="156">
        <v>0</v>
      </c>
      <c r="E210" s="160">
        <v>1376033.95</v>
      </c>
      <c r="F210" s="202">
        <v>1389641.41</v>
      </c>
      <c r="G210" s="202">
        <v>144940.25</v>
      </c>
      <c r="H210" s="221"/>
      <c r="I210" s="187"/>
      <c r="J210" s="222"/>
    </row>
    <row r="211" spans="1:13" s="191" customFormat="1" ht="15" customHeight="1" x14ac:dyDescent="0.25">
      <c r="A211" s="219" t="s">
        <v>344</v>
      </c>
      <c r="B211" s="180" t="s">
        <v>345</v>
      </c>
      <c r="C211" s="180"/>
      <c r="D211" s="156">
        <v>0</v>
      </c>
      <c r="E211" s="21">
        <v>242550.88</v>
      </c>
      <c r="F211" s="207">
        <v>456532.18</v>
      </c>
      <c r="G211" s="202">
        <v>676592.04</v>
      </c>
      <c r="H211" s="221"/>
      <c r="I211" s="187"/>
      <c r="J211" s="222"/>
    </row>
    <row r="212" spans="1:13" s="191" customFormat="1" ht="15" customHeight="1" x14ac:dyDescent="0.2">
      <c r="A212" s="219" t="s">
        <v>346</v>
      </c>
      <c r="B212" s="180" t="s">
        <v>367</v>
      </c>
      <c r="C212" s="180"/>
      <c r="D212" s="156">
        <v>0</v>
      </c>
      <c r="E212" s="21">
        <v>0</v>
      </c>
      <c r="F212" s="21">
        <v>0</v>
      </c>
      <c r="G212" s="21">
        <v>55368987.259999998</v>
      </c>
      <c r="H212" s="221"/>
      <c r="I212" s="187"/>
      <c r="J212" s="188"/>
    </row>
    <row r="213" spans="1:13" s="191" customFormat="1" ht="15" customHeight="1" x14ac:dyDescent="0.2">
      <c r="A213" s="224"/>
      <c r="B213" s="1"/>
      <c r="C213" s="1"/>
      <c r="D213" s="225"/>
      <c r="E213" s="225"/>
      <c r="F213" s="225"/>
      <c r="G213" s="226"/>
      <c r="H213" s="226"/>
      <c r="I213" s="227"/>
      <c r="J213" s="227"/>
      <c r="K213" s="5"/>
      <c r="L213" s="5"/>
      <c r="M213" s="5"/>
    </row>
    <row r="214" spans="1:13" s="191" customFormat="1" ht="27" customHeight="1" x14ac:dyDescent="0.2">
      <c r="A214" s="239" t="s">
        <v>363</v>
      </c>
      <c r="B214" s="239"/>
      <c r="C214" s="239"/>
      <c r="D214" s="239"/>
      <c r="E214" s="239"/>
      <c r="F214" s="239"/>
      <c r="G214" s="239"/>
      <c r="H214" s="239"/>
      <c r="I214" s="239"/>
      <c r="J214" s="227"/>
      <c r="K214" s="5"/>
      <c r="L214" s="5"/>
      <c r="M214" s="5"/>
    </row>
    <row r="215" spans="1:13" s="191" customFormat="1" ht="27" customHeight="1" x14ac:dyDescent="0.2">
      <c r="A215" s="239" t="s">
        <v>348</v>
      </c>
      <c r="B215" s="239"/>
      <c r="C215" s="239"/>
      <c r="D215" s="239"/>
      <c r="E215" s="239"/>
      <c r="F215" s="239"/>
      <c r="G215" s="239"/>
      <c r="H215" s="239"/>
      <c r="I215" s="239"/>
      <c r="J215" s="227"/>
      <c r="K215" s="5"/>
      <c r="L215" s="5"/>
      <c r="M215" s="5"/>
    </row>
    <row r="216" spans="1:13" s="191" customFormat="1" ht="27" customHeight="1" x14ac:dyDescent="0.2">
      <c r="A216" s="239" t="s">
        <v>353</v>
      </c>
      <c r="B216" s="239"/>
      <c r="C216" s="239"/>
      <c r="D216" s="239"/>
      <c r="E216" s="239"/>
      <c r="F216" s="239"/>
      <c r="G216" s="239"/>
      <c r="H216" s="239"/>
      <c r="I216" s="239"/>
      <c r="J216" s="227"/>
      <c r="K216" s="5"/>
      <c r="L216" s="5"/>
      <c r="M216" s="5"/>
    </row>
    <row r="217" spans="1:13" s="191" customFormat="1" ht="27" customHeight="1" x14ac:dyDescent="0.2">
      <c r="A217" s="239" t="s">
        <v>349</v>
      </c>
      <c r="B217" s="239"/>
      <c r="C217" s="239"/>
      <c r="D217" s="239"/>
      <c r="E217" s="239"/>
      <c r="F217" s="239"/>
      <c r="G217" s="239"/>
      <c r="H217" s="239"/>
      <c r="I217" s="239"/>
      <c r="J217" s="227"/>
      <c r="K217" s="5"/>
      <c r="L217" s="5"/>
      <c r="M217" s="5"/>
    </row>
    <row r="218" spans="1:13" s="191" customFormat="1" ht="27" customHeight="1" x14ac:dyDescent="0.2">
      <c r="A218" s="239" t="s">
        <v>370</v>
      </c>
      <c r="B218" s="239"/>
      <c r="C218" s="239"/>
      <c r="D218" s="239"/>
      <c r="E218" s="239"/>
      <c r="F218" s="239"/>
      <c r="G218" s="239"/>
      <c r="H218" s="239"/>
      <c r="I218" s="239"/>
      <c r="J218" s="227"/>
      <c r="K218" s="5"/>
      <c r="L218" s="5"/>
      <c r="M218" s="5"/>
    </row>
    <row r="219" spans="1:13" s="191" customFormat="1" ht="27" customHeight="1" x14ac:dyDescent="0.2">
      <c r="A219" s="239" t="s">
        <v>364</v>
      </c>
      <c r="B219" s="239"/>
      <c r="C219" s="239"/>
      <c r="D219" s="239"/>
      <c r="E219" s="239"/>
      <c r="F219" s="239"/>
      <c r="G219" s="239"/>
      <c r="H219" s="239"/>
      <c r="I219" s="239"/>
      <c r="J219" s="227"/>
      <c r="K219" s="5"/>
      <c r="L219" s="5"/>
      <c r="M219" s="5"/>
    </row>
    <row r="220" spans="1:13" s="38" customFormat="1" ht="27" customHeight="1" x14ac:dyDescent="0.25">
      <c r="A220" s="239" t="s">
        <v>354</v>
      </c>
      <c r="B220" s="239"/>
      <c r="C220" s="239"/>
      <c r="D220" s="239"/>
      <c r="E220" s="239"/>
      <c r="F220" s="239"/>
      <c r="G220" s="239"/>
      <c r="H220" s="239"/>
      <c r="I220" s="239"/>
      <c r="J220" s="233"/>
      <c r="K220" s="45"/>
      <c r="L220" s="45"/>
      <c r="M220" s="45"/>
    </row>
    <row r="221" spans="1:13" s="191" customFormat="1" ht="27" customHeight="1" x14ac:dyDescent="0.2">
      <c r="A221" s="240" t="s">
        <v>355</v>
      </c>
      <c r="B221" s="240"/>
      <c r="C221" s="240"/>
      <c r="D221" s="240"/>
      <c r="E221" s="240"/>
      <c r="F221" s="240"/>
      <c r="G221" s="240"/>
      <c r="H221" s="240"/>
      <c r="I221" s="240"/>
      <c r="J221" s="227"/>
      <c r="K221" s="5"/>
      <c r="L221" s="5"/>
      <c r="M221" s="5"/>
    </row>
    <row r="222" spans="1:13" s="191" customFormat="1" ht="27" customHeight="1" x14ac:dyDescent="0.2">
      <c r="A222" s="239" t="s">
        <v>350</v>
      </c>
      <c r="B222" s="239"/>
      <c r="C222" s="239"/>
      <c r="D222" s="239"/>
      <c r="E222" s="239"/>
      <c r="F222" s="239"/>
      <c r="G222" s="239"/>
      <c r="H222" s="239"/>
      <c r="I222" s="239"/>
      <c r="J222" s="227"/>
      <c r="K222" s="5"/>
      <c r="L222" s="5"/>
      <c r="M222" s="5"/>
    </row>
    <row r="223" spans="1:13" s="191" customFormat="1" ht="27" customHeight="1" x14ac:dyDescent="0.2">
      <c r="A223" s="239" t="s">
        <v>351</v>
      </c>
      <c r="B223" s="239"/>
      <c r="C223" s="239"/>
      <c r="D223" s="239"/>
      <c r="E223" s="239"/>
      <c r="F223" s="239"/>
      <c r="G223" s="239"/>
      <c r="H223" s="239"/>
      <c r="I223" s="239"/>
      <c r="J223" s="227"/>
      <c r="K223" s="5"/>
      <c r="L223" s="5"/>
      <c r="M223" s="5"/>
    </row>
    <row r="224" spans="1:13" s="191" customFormat="1" ht="27" customHeight="1" x14ac:dyDescent="0.2">
      <c r="A224" s="239" t="s">
        <v>366</v>
      </c>
      <c r="B224" s="239"/>
      <c r="C224" s="239"/>
      <c r="D224" s="239"/>
      <c r="E224" s="239"/>
      <c r="F224" s="239"/>
      <c r="G224" s="239"/>
      <c r="H224" s="239"/>
      <c r="I224" s="239"/>
      <c r="J224" s="227"/>
      <c r="K224" s="5"/>
      <c r="L224" s="5"/>
      <c r="M224" s="5"/>
    </row>
    <row r="225" spans="1:13" s="191" customFormat="1" ht="27" customHeight="1" x14ac:dyDescent="0.2">
      <c r="A225" s="239" t="s">
        <v>352</v>
      </c>
      <c r="B225" s="239"/>
      <c r="C225" s="239"/>
      <c r="D225" s="239"/>
      <c r="E225" s="239"/>
      <c r="F225" s="239"/>
      <c r="G225" s="239"/>
      <c r="H225" s="239"/>
      <c r="I225" s="239"/>
      <c r="J225" s="227"/>
      <c r="K225" s="5"/>
      <c r="L225" s="5"/>
      <c r="M225" s="5"/>
    </row>
    <row r="226" spans="1:13" s="191" customFormat="1" ht="20.100000000000001" customHeight="1" x14ac:dyDescent="0.2">
      <c r="A226" s="224" t="s">
        <v>347</v>
      </c>
      <c r="B226" s="1"/>
      <c r="C226" s="1"/>
      <c r="D226" s="225"/>
      <c r="E226" s="225"/>
      <c r="F226" s="225"/>
      <c r="G226" s="226"/>
      <c r="H226" s="226"/>
      <c r="I226" s="227"/>
      <c r="J226" s="227"/>
      <c r="K226" s="5"/>
      <c r="L226" s="5"/>
      <c r="M226" s="5"/>
    </row>
    <row r="227" spans="1:13" s="191" customFormat="1" ht="15" customHeight="1" x14ac:dyDescent="0.2">
      <c r="A227" s="224"/>
      <c r="B227" s="1"/>
      <c r="C227" s="1"/>
      <c r="D227" s="225"/>
      <c r="E227" s="225"/>
      <c r="F227" s="225"/>
      <c r="G227" s="226"/>
      <c r="H227" s="226"/>
      <c r="I227" s="227"/>
      <c r="J227" s="227"/>
      <c r="K227" s="5"/>
      <c r="L227" s="5"/>
      <c r="M227" s="5"/>
    </row>
    <row r="228" spans="1:13" x14ac:dyDescent="0.2">
      <c r="A228" s="163"/>
    </row>
    <row r="229" spans="1:13" x14ac:dyDescent="0.2">
      <c r="A229" s="228" t="s">
        <v>356</v>
      </c>
    </row>
    <row r="230" spans="1:13" s="229" customFormat="1" x14ac:dyDescent="0.2">
      <c r="A230" s="163"/>
      <c r="B230" s="1"/>
      <c r="C230" s="1"/>
      <c r="D230" s="2"/>
      <c r="E230" s="2"/>
      <c r="F230" s="2"/>
      <c r="G230" s="3"/>
      <c r="H230" s="3"/>
      <c r="I230" s="4"/>
      <c r="J230" s="4"/>
      <c r="K230" s="5"/>
      <c r="L230" s="5"/>
      <c r="M230" s="5"/>
    </row>
    <row r="231" spans="1:13" s="229" customFormat="1" x14ac:dyDescent="0.2">
      <c r="A231" s="163"/>
      <c r="B231" s="1"/>
      <c r="C231" s="1"/>
      <c r="D231" s="2"/>
      <c r="E231" s="2"/>
      <c r="F231" s="2"/>
      <c r="G231" s="3"/>
      <c r="H231" s="3"/>
      <c r="I231" s="4"/>
      <c r="J231" s="4"/>
      <c r="K231" s="5"/>
      <c r="L231" s="5"/>
      <c r="M231" s="5"/>
    </row>
    <row r="232" spans="1:13" s="229" customFormat="1" x14ac:dyDescent="0.2">
      <c r="A232" s="163" t="s">
        <v>357</v>
      </c>
      <c r="B232" s="1"/>
      <c r="C232" s="1"/>
      <c r="D232" s="2" t="s">
        <v>358</v>
      </c>
      <c r="E232" s="2"/>
      <c r="F232" s="2"/>
      <c r="G232" s="3" t="s">
        <v>361</v>
      </c>
      <c r="H232" s="3"/>
      <c r="I232" s="4"/>
      <c r="J232" s="4"/>
      <c r="K232" s="5"/>
      <c r="L232" s="5"/>
      <c r="M232" s="5"/>
    </row>
    <row r="233" spans="1:13" s="229" customFormat="1" x14ac:dyDescent="0.2">
      <c r="A233" s="163" t="s">
        <v>359</v>
      </c>
      <c r="B233" s="1"/>
      <c r="C233" s="1"/>
      <c r="D233" s="2" t="s">
        <v>360</v>
      </c>
      <c r="E233" s="2"/>
      <c r="F233" s="2"/>
      <c r="G233" s="3" t="s">
        <v>362</v>
      </c>
      <c r="H233" s="3"/>
      <c r="I233" s="4"/>
      <c r="J233" s="4"/>
      <c r="K233" s="5"/>
      <c r="L233" s="5"/>
      <c r="M233" s="5"/>
    </row>
  </sheetData>
  <mergeCells count="24">
    <mergeCell ref="A214:I214"/>
    <mergeCell ref="A215:I215"/>
    <mergeCell ref="B182:C182"/>
    <mergeCell ref="A11:I11"/>
    <mergeCell ref="B15:C15"/>
    <mergeCell ref="B16:C16"/>
    <mergeCell ref="B39:C39"/>
    <mergeCell ref="B40:C40"/>
    <mergeCell ref="B48:C48"/>
    <mergeCell ref="B52:C52"/>
    <mergeCell ref="B152:C152"/>
    <mergeCell ref="B158:C158"/>
    <mergeCell ref="B164:C164"/>
    <mergeCell ref="B173:C173"/>
    <mergeCell ref="A223:I223"/>
    <mergeCell ref="A225:I225"/>
    <mergeCell ref="A216:I216"/>
    <mergeCell ref="A221:I221"/>
    <mergeCell ref="A219:I219"/>
    <mergeCell ref="A224:I224"/>
    <mergeCell ref="A217:I217"/>
    <mergeCell ref="A218:I218"/>
    <mergeCell ref="A220:I220"/>
    <mergeCell ref="A222:I222"/>
  </mergeCells>
  <pageMargins left="0.43307086614173229" right="0.28000000000000003" top="0.31496062992125984" bottom="0.33" header="0.31496062992125984" footer="0.43"/>
  <pageSetup paperSize="9" scale="83" orientation="landscape" r:id="rId1"/>
  <rowBreaks count="1" manualBreakCount="1">
    <brk id="171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4C744D90E2B740BDBF7503774A5630" ma:contentTypeVersion="13" ma:contentTypeDescription="Crie um novo documento." ma:contentTypeScope="" ma:versionID="b28eb7fca77c2910f2e2b5ee1001b6ec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4959750a-c7a2-4942-8a40-7b2351041195" xmlns:ns4="cc0fe4d2-8a50-4f4f-b09d-a25f01f187ba" targetNamespace="http://schemas.microsoft.com/office/2006/metadata/properties" ma:root="true" ma:fieldsID="660d44c98dad73c5fcb0a671b2935527" ns1:_="" ns2:_="" ns3:_="" ns4:_="">
    <xsd:import namespace="http://schemas.microsoft.com/sharepoint/v3"/>
    <xsd:import namespace="http://schemas.microsoft.com/sharepoint/v3/fields"/>
    <xsd:import namespace="4959750a-c7a2-4942-8a40-7b2351041195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_EndDat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8" nillable="true" ma:displayName="Atribuída a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9" nillable="true" ma:displayName="Data de Término" ma:default="[today]" ma:format="DateTime" ma:internalName="_En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750a-c7a2-4942-8a40-7b2351041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_EndDate xmlns="http://schemas.microsoft.com/sharepoint/v3/fields">2021-12-03T03:07:47+00:00</_End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1CEB17-6AD5-4F74-BD8D-EE7447D3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4959750a-c7a2-4942-8a40-7b2351041195"/>
    <ds:schemaRef ds:uri="cc0fe4d2-8a50-4f4f-b09d-a25f01f187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EC713-D7D6-4CB1-8AE5-720EFE086A1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1210893A-9433-4FD5-9364-0712C57CB9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PrevistoxReal Cons</vt:lpstr>
      <vt:lpstr>'PrevistoxReal Cons'!Area_de_impressao</vt:lpstr>
      <vt:lpstr>'PrevistoxReal Cons'!Titulos_de_impressao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cp:lastPrinted>2022-03-14T22:39:10Z</cp:lastPrinted>
  <dcterms:created xsi:type="dcterms:W3CDTF">2021-05-20T18:40:04Z</dcterms:created>
  <dcterms:modified xsi:type="dcterms:W3CDTF">2022-03-24T14:06:41Z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0x010100CB4C744D90E2B740BDBF7503774A5630</vt:lpwstr>
  </property>
  <property fmtid="{D5CDD505-2E9C-101B-9397-08002B2CF9AE}" pid="3" name="Order">
    <vt:r8>47005200</vt:r8>
  </property>
</Properties>
</file>